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95" windowWidth="11625" windowHeight="1068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收益法" sheetId="15" r:id="rId38"/>
    <sheet name="收益法 (元)" sheetId="67" state="hidden"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s>
  <externalReferences>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9" i="1" l="1"/>
  <c r="N6" i="1"/>
  <c r="A3" i="3"/>
  <c r="F105" i="34" l="1"/>
  <c r="G105" i="34" s="1"/>
  <c r="H105" i="34" s="1"/>
  <c r="C14" i="74" l="1"/>
  <c r="E105" i="34" l="1"/>
  <c r="U21" i="1" l="1"/>
  <c r="U20" i="1"/>
  <c r="F3" i="81" l="1"/>
  <c r="F4" i="81"/>
  <c r="H4" i="81" s="1"/>
  <c r="F2" i="81"/>
  <c r="A4" i="81"/>
  <c r="H3" i="81"/>
  <c r="H2" i="81"/>
  <c r="C11" i="4" l="1"/>
  <c r="E11" i="80" l="1"/>
  <c r="C7" i="80"/>
  <c r="D7" i="80" s="1"/>
  <c r="B7" i="80"/>
  <c r="D6" i="80"/>
  <c r="C6" i="80"/>
  <c r="B6" i="80"/>
  <c r="D5" i="80"/>
  <c r="D8" i="80" s="1"/>
  <c r="C5" i="80"/>
  <c r="C8" i="80" s="1"/>
  <c r="B5" i="80"/>
  <c r="T5" i="31" l="1"/>
  <c r="J118" i="9" l="1"/>
  <c r="D3" i="4" l="1"/>
  <c r="B25" i="31" l="1"/>
  <c r="B26" i="31"/>
  <c r="B24" i="31"/>
  <c r="A25" i="31"/>
  <c r="A26" i="31"/>
  <c r="A24" i="31"/>
  <c r="G51" i="34"/>
  <c r="G48" i="34" s="1"/>
  <c r="I51" i="34" l="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15"/>
  <c r="B7" i="76"/>
  <c r="B10" i="76"/>
  <c r="L47" i="15"/>
  <c r="M24" i="67"/>
  <c r="M9" i="15"/>
  <c r="F6" i="73"/>
  <c r="D3" i="73"/>
  <c r="F38" i="67"/>
  <c r="E2" i="68"/>
  <c r="J15" i="67"/>
  <c r="F40" i="67"/>
  <c r="F16" i="67"/>
  <c r="M22" i="67"/>
  <c r="L48" i="67"/>
  <c r="E8" i="76"/>
  <c r="E13" i="76"/>
  <c r="E11" i="76"/>
  <c r="M6" i="15"/>
  <c r="E9" i="76"/>
  <c r="M29" i="67"/>
  <c r="F3" i="73"/>
  <c r="M26" i="67"/>
  <c r="E10" i="76"/>
  <c r="F42" i="15"/>
  <c r="F42" i="67"/>
  <c r="M23" i="67"/>
  <c r="F7" i="15"/>
  <c r="M24" i="15"/>
  <c r="F9" i="67"/>
  <c r="L47" i="67"/>
  <c r="F13" i="67"/>
  <c r="M8" i="15"/>
  <c r="D6" i="73"/>
  <c r="F13" i="15"/>
  <c r="F26" i="15"/>
  <c r="E2" i="69"/>
  <c r="F36" i="67"/>
  <c r="F7" i="73"/>
  <c r="B13" i="76"/>
  <c r="M23" i="15"/>
  <c r="M28" i="67"/>
  <c r="F20" i="31"/>
  <c r="J15" i="15"/>
  <c r="AO13" i="1"/>
  <c r="C76" i="15"/>
  <c r="F8" i="15"/>
  <c r="F37" i="15"/>
  <c r="F9" i="15"/>
  <c r="M29" i="15"/>
  <c r="M8" i="67"/>
  <c r="F26" i="67"/>
  <c r="M9" i="67"/>
  <c r="D5" i="73"/>
  <c r="F37" i="67"/>
  <c r="E7" i="76"/>
  <c r="M22" i="15"/>
  <c r="B11" i="76"/>
  <c r="D4" i="73"/>
  <c r="F8" i="67"/>
  <c r="B12" i="76"/>
  <c r="F7" i="67"/>
  <c r="C76" i="67"/>
  <c r="E12" i="76"/>
  <c r="F43" i="67"/>
  <c r="F6" i="15"/>
  <c r="F16" i="15"/>
  <c r="B8" i="76"/>
  <c r="F40" i="15"/>
  <c r="F4" i="73"/>
  <c r="M26" i="15"/>
  <c r="L48" i="15"/>
  <c r="F6" i="67"/>
  <c r="M6" i="67"/>
  <c r="F5" i="73"/>
  <c r="F36" i="15"/>
  <c r="M28" i="15"/>
  <c r="D7" i="73"/>
  <c r="F43" i="15"/>
  <c r="B9" i="76"/>
  <c r="J51" i="15" l="1"/>
  <c r="H27" i="34"/>
  <c r="AB27" i="34" s="1"/>
  <c r="C18" i="9"/>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AA27" i="34" l="1"/>
  <c r="E59" i="40"/>
  <c r="E10" i="6"/>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E3" i="6" s="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H6" i="3" l="1"/>
  <c r="E16" i="6"/>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0" i="67"/>
  <c r="C26" i="67" s="1"/>
  <c r="L85" i="9"/>
  <c r="C88" i="9" s="1"/>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9" i="9"/>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4"/>
  <c r="D2" i="35"/>
  <c r="D2" i="37"/>
  <c r="E21" i="80" l="1"/>
  <c r="E20" i="80" s="1"/>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19" i="9"/>
  <c r="AO11" i="1"/>
  <c r="AO8" i="1"/>
  <c r="AO12" i="1"/>
  <c r="AO10" i="1"/>
  <c r="AO9" i="1"/>
  <c r="AO7" i="1"/>
  <c r="AO6"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D45" i="9" s="1"/>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G7" i="80"/>
  <c r="E7" i="80" s="1"/>
  <c r="E8" i="80" s="1"/>
  <c r="E9" i="80" s="1"/>
  <c r="F7" i="80"/>
  <c r="D5" i="53"/>
  <c r="H107" i="9"/>
  <c r="M48" i="9" s="1"/>
  <c r="M49" i="9" s="1"/>
  <c r="G14" i="74"/>
  <c r="B6" i="74" s="1"/>
  <c r="D119" i="9"/>
  <c r="D5" i="52" s="1"/>
  <c r="B49" i="72" s="1"/>
  <c r="D4" i="52"/>
  <c r="B47" i="72" s="1"/>
  <c r="G8" i="80" l="1"/>
  <c r="G9" i="80" s="1"/>
  <c r="B5" i="74"/>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C81" i="9"/>
  <c r="N61" i="9" l="1"/>
  <c r="H112" i="9" s="1"/>
  <c r="H111" i="9"/>
  <c r="N60" i="9"/>
  <c r="D126" i="9" l="1"/>
  <c r="D19" i="53"/>
  <c r="C8" i="74"/>
  <c r="D21" i="53"/>
  <c r="B39" i="72" s="1"/>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<sst xmlns="http://schemas.openxmlformats.org/spreadsheetml/2006/main" count="7975" uniqueCount="3501">
  <si>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</si>
  <si>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</si>
  <si>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</si>
  <si>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</si>
  <si>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</si>
  <si>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</si>
  <si>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</si>
  <si>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</si>
  <si>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</si>
  <si>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</si>
  <si>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</si>
  <si>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</si>
  <si>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</si>
  <si>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</si>
  <si>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</si>
  <si>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</si>
  <si>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</si>
  <si>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</si>
  <si>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</si>
  <si>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</si>
  <si>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</si>
  <si>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</si>
  <si>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</si>
  <si>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</si>
  <si>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</si>
  <si>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</si>
  <si>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</si>
  <si>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</si>
  <si>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</si>
  <si>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</si>
  <si>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</si>
  <si>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</si>
  <si>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</si>
  <si>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</si>
  <si>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</si>
  <si>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</si>
  <si>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</si>
  <si>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</si>
  <si>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</si>
  <si>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</si>
  <si>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</si>
  <si>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</si>
  <si>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</si>
  <si>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</si>
  <si>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</si>
  <si>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</si>
  <si>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</si>
  <si>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</si>
  <si>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</si>
  <si>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</si>
  <si>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</si>
  <si>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</si>
  <si>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</si>
  <si>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</si>
  <si>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</si>
  <si>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</si>
  <si>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</si>
  <si>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</si>
  <si>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</si>
  <si>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</si>
  <si>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</si>
  <si>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</si>
  <si>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</si>
  <si>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</si>
  <si>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</si>
  <si>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</si>
  <si>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</si>
  <si>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</si>
  <si>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</si>
  <si>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</si>
  <si>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</si>
  <si>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</si>
  <si>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</si>
  <si>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</si>
  <si>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</si>
  <si>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</si>
  <si>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</si>
  <si>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</si>
  <si>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</si>
  <si>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</si>
  <si>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</si>
  <si>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</si>
  <si>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</si>
  <si>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</si>
  <si>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</si>
  <si>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</si>
  <si>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</si>
  <si>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</si>
  <si>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</si>
  <si>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</si>
  <si>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</si>
  <si>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</si>
  <si>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</si>
  <si>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</si>
  <si>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</si>
  <si>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</si>
  <si>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</si>
  <si>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</si>
  <si>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</si>
  <si>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</si>
  <si>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</si>
  <si>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</si>
  <si>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</si>
  <si>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</si>
  <si>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</si>
  <si>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</si>
  <si>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</si>
  <si>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</si>
  <si>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</si>
  <si>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</si>
  <si>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</si>
  <si>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</si>
  <si>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</si>
  <si>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</si>
  <si>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</si>
  <si>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</si>
  <si>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</si>
  <si>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</si>
  <si>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</si>
  <si>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</si>
  <si>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</si>
  <si>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</si>
  <si>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</si>
  <si>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</si>
  <si>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</si>
  <si>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</si>
  <si>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</si>
  <si>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</si>
  <si>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</si>
  <si>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</si>
  <si>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</si>
  <si>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</si>
  <si>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</si>
  <si>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</si>
  <si>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</si>
  <si>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</si>
  <si>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</si>
  <si>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</si>
  <si>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</si>
  <si>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</si>
  <si>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</si>
  <si>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</si>
  <si>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</si>
  <si>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</si>
  <si>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</si>
  <si>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</si>
  <si>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</si>
  <si>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</si>
  <si>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</si>
  <si>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</si>
  <si>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</si>
  <si>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</si>
  <si>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</si>
  <si>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</si>
  <si>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</si>
  <si>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</si>
  <si>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</si>
  <si>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</si>
  <si>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</si>
  <si>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</si>
  <si>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</si>
  <si>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</si>
  <si>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</si>
  <si>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</si>
  <si>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</si>
  <si>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</si>
  <si>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</si>
  <si>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</si>
  <si>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</si>
  <si>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</si>
  <si>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</si>
  <si>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</si>
  <si>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</si>
  <si>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</si>
  <si>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</si>
  <si>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</si>
  <si>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</si>
  <si>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</si>
  <si>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</si>
  <si>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</si>
  <si>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</si>
  <si>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</si>
  <si>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</si>
  <si>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</si>
  <si>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</si>
  <si>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</si>
  <si>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</si>
  <si>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</si>
  <si>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</si>
  <si>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</si>
  <si>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</si>
  <si>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</si>
  <si>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</si>
  <si>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</si>
  <si>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</si>
  <si>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</si>
  <si>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</si>
  <si>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</si>
  <si>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</si>
  <si>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</si>
  <si>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</si>
  <si>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</si>
  <si>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</si>
  <si>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</si>
  <si>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</si>
  <si>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</si>
  <si>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</si>
  <si>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</si>
  <si>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</si>
  <si>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</si>
  <si>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</si>
  <si>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</si>
  <si>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</si>
  <si>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</si>
  <si>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</si>
  <si>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</si>
  <si>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</si>
  <si>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</si>
  <si>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</si>
  <si>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</si>
  <si>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</si>
  <si>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</si>
  <si>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</si>
  <si>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</si>
  <si>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</si>
  <si>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</si>
  <si>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</si>
  <si>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</si>
  <si>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</si>
  <si>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</si>
  <si>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</si>
  <si>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</si>
  <si>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</si>
  <si>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</si>
  <si>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</si>
  <si>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</si>
  <si>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</si>
  <si>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</si>
  <si>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</si>
  <si>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</si>
  <si>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</si>
  <si>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</si>
  <si>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</si>
  <si>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</si>
  <si>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</si>
  <si>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</si>
  <si>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</si>
  <si>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</si>
  <si>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</si>
  <si>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</si>
  <si>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</si>
  <si>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</si>
  <si>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</si>
  <si>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</si>
  <si>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</si>
  <si>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</si>
  <si>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</si>
  <si>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</si>
  <si>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</si>
  <si>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</si>
  <si>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</si>
  <si>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</si>
  <si>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</si>
  <si>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</si>
  <si>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</si>
  <si>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</si>
  <si>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</si>
  <si>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</si>
  <si>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</si>
  <si>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</si>
  <si>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</si>
  <si>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</si>
  <si>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</si>
  <si>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</si>
  <si>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</si>
  <si>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</si>
  <si>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</si>
  <si>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</si>
  <si>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</si>
  <si>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</si>
  <si>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</si>
  <si>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</si>
  <si>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</si>
  <si>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</si>
  <si>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</si>
  <si>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</si>
  <si>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</si>
  <si>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</si>
  <si>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</si>
  <si>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</si>
  <si>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</si>
  <si>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</si>
  <si>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</si>
  <si>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</si>
  <si>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</si>
  <si>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</si>
  <si>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</si>
  <si>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</si>
  <si>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</si>
  <si>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</si>
  <si>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</si>
  <si>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</si>
  <si>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</si>
  <si>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</si>
  <si>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</si>
  <si>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</si>
  <si>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</si>
  <si>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</si>
  <si>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</si>
  <si>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</si>
  <si>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</si>
  <si>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</si>
  <si>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</si>
  <si>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</si>
  <si>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</si>
  <si>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</si>
  <si>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</si>
  <si>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</si>
  <si>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</si>
  <si>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</si>
  <si>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</si>
  <si>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</si>
  <si>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</si>
  <si>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</si>
  <si>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</si>
  <si>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</si>
  <si>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</si>
  <si>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</si>
  <si>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</si>
  <si>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</si>
  <si>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</si>
  <si>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</si>
  <si>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</si>
  <si>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</si>
  <si>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</si>
  <si>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</si>
  <si>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</si>
  <si>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</si>
  <si>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</si>
  <si>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</si>
  <si>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</si>
  <si>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</si>
  <si>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</si>
  <si>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</si>
  <si>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</si>
  <si>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</si>
  <si>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</si>
  <si>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</si>
  <si>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</si>
  <si>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</si>
  <si>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</si>
  <si>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</si>
  <si>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</si>
  <si>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</si>
  <si>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</si>
  <si>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</si>
  <si>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</si>
  <si>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</si>
  <si>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</si>
  <si>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</si>
  <si>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</si>
  <si>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</si>
  <si>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</si>
  <si>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</si>
  <si>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</si>
  <si>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</si>
  <si>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</si>
  <si>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</si>
  <si>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</si>
  <si>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</si>
  <si>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</si>
  <si>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</si>
  <si>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</si>
  <si>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</si>
  <si>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</si>
  <si>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</si>
  <si>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</si>
  <si>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</si>
  <si>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</si>
  <si>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</si>
  <si>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</si>
  <si>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</si>
  <si>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</si>
  <si>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</si>
  <si>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</si>
  <si>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</si>
  <si>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</si>
  <si>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</si>
  <si>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</si>
  <si>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</si>
  <si>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</si>
  <si>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</si>
  <si>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</si>
  <si>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</si>
  <si>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</si>
  <si>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</si>
  <si>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</si>
  <si>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</si>
  <si>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</si>
  <si>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</si>
  <si>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</si>
  <si>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</si>
  <si>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</si>
  <si>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</si>
  <si>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</si>
  <si>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</si>
  <si>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</si>
  <si>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</si>
  <si>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</si>
  <si>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</si>
  <si>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</si>
  <si>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</si>
  <si>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</si>
  <si>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</si>
  <si>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</si>
  <si>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</si>
  <si>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</si>
  <si>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</si>
  <si>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</si>
  <si>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</si>
  <si>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</si>
  <si>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</si>
  <si>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</si>
  <si>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</si>
  <si>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</si>
  <si>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</si>
  <si>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</si>
  <si>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</si>
  <si>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</si>
  <si>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</si>
  <si>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</si>
  <si>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</si>
  <si>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</si>
  <si>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</si>
  <si>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</si>
  <si>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</si>
  <si>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</si>
  <si>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</si>
  <si>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</si>
  <si>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</si>
  <si>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</si>
  <si>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</si>
  <si>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</si>
  <si>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</si>
  <si>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</si>
  <si>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</si>
  <si>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</si>
  <si>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</si>
  <si>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</si>
  <si>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</si>
  <si>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</si>
  <si>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</si>
  <si>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</si>
  <si>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</si>
  <si>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</si>
  <si>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</si>
  <si>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</si>
  <si>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</si>
  <si>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</si>
  <si>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</si>
  <si>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</si>
  <si>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</si>
  <si>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</si>
  <si>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</si>
  <si>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</si>
  <si>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</si>
  <si>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</si>
  <si>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</si>
  <si>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</si>
  <si>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</si>
  <si>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</si>
  <si>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</si>
  <si>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</si>
  <si>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</si>
  <si>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</si>
  <si>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</si>
  <si>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</si>
  <si>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</si>
  <si>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</si>
  <si>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</si>
  <si>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</si>
  <si>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</si>
  <si>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</si>
  <si>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</si>
  <si>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</si>
  <si>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</si>
  <si>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</si>
  <si>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</si>
  <si>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</si>
  <si>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</si>
  <si>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</si>
  <si>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</si>
  <si>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</si>
  <si>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</si>
  <si>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</si>
  <si>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</si>
  <si>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</si>
  <si>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</si>
  <si>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</si>
  <si>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</si>
  <si>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</si>
  <si>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</si>
  <si>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</si>
  <si>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</si>
  <si>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</si>
  <si>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</si>
  <si>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</si>
  <si>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</si>
  <si>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</si>
  <si>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</si>
  <si>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</si>
  <si>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</si>
  <si>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</si>
  <si>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</si>
  <si>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</si>
  <si>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</si>
  <si>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</si>
  <si>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</si>
  <si>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</si>
  <si>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</si>
  <si>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</si>
  <si>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</si>
  <si>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</si>
  <si>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</si>
  <si>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</si>
  <si>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</si>
  <si>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</si>
  <si>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</si>
  <si>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</si>
  <si>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</si>
  <si>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</si>
  <si>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</si>
  <si>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</si>
  <si>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</si>
  <si>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</si>
  <si>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</si>
  <si>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</si>
  <si>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</si>
  <si>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</si>
  <si>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</si>
  <si>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</si>
  <si>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</si>
  <si>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</si>
  <si>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</si>
  <si>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</si>
  <si>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</si>
  <si>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</si>
  <si>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</si>
  <si>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</si>
  <si>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</si>
  <si>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</si>
  <si>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</si>
  <si>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</si>
  <si>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</si>
  <si>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</si>
  <si>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</si>
  <si>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</si>
  <si>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</si>
  <si>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</si>
  <si>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</si>
  <si>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</si>
  <si>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</si>
  <si>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</si>
  <si>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</si>
  <si>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</si>
  <si>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</si>
  <si>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</si>
  <si>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</si>
  <si>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</si>
  <si>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</si>
  <si>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</si>
  <si>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</si>
  <si>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</si>
  <si>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</si>
  <si>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</si>
  <si>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</si>
  <si>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</si>
  <si>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</si>
  <si>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</si>
  <si>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</si>
  <si>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</si>
  <si>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</si>
  <si>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</si>
  <si>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</si>
  <si>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</si>
  <si>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</si>
  <si>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</si>
  <si>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</si>
  <si>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</si>
  <si>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</si>
  <si>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</si>
  <si>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</si>
  <si>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</si>
  <si>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</si>
  <si>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</si>
  <si>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</si>
  <si>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</si>
  <si>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</si>
  <si>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</si>
  <si>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</si>
  <si>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</si>
  <si>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</si>
  <si>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</si>
  <si>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</si>
  <si>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</si>
  <si>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</si>
  <si>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</si>
  <si>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</si>
  <si>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</si>
  <si>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</si>
  <si>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</si>
  <si>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</si>
  <si>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</si>
  <si>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</si>
  <si>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</si>
  <si>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</si>
  <si>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</si>
  <si>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</si>
  <si>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</si>
  <si>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</si>
  <si>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</si>
  <si>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</si>
  <si>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</si>
  <si>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</si>
  <si>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</si>
  <si>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</si>
  <si>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</si>
  <si>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</si>
  <si>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</si>
  <si>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</si>
  <si>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</si>
  <si>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</si>
  <si>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</si>
  <si>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</si>
  <si>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</si>
  <si>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</si>
  <si>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</si>
  <si>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</si>
  <si>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</si>
  <si>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</si>
  <si>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</si>
  <si>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</si>
  <si>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</si>
  <si>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</si>
  <si>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</si>
  <si>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</si>
  <si>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</si>
  <si>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</si>
  <si>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</si>
  <si>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</si>
  <si>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</si>
  <si>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</si>
  <si>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</si>
  <si>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</si>
  <si>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</si>
  <si>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</si>
  <si>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</si>
  <si>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</si>
  <si>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</si>
  <si>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</si>
  <si>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</si>
  <si>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</si>
  <si>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</si>
  <si>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</si>
  <si>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</si>
  <si>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</si>
  <si>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</si>
  <si>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</si>
  <si>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</si>
  <si>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</si>
  <si>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</si>
  <si>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</si>
  <si>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</si>
  <si>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</si>
  <si>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</si>
  <si>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</si>
  <si>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</si>
  <si>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</si>
  <si>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</si>
  <si>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</si>
  <si>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</si>
  <si>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</si>
  <si>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</si>
  <si>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</si>
  <si>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</si>
  <si>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</si>
  <si>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</si>
  <si>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</si>
  <si>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</si>
  <si>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</si>
  <si>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</si>
  <si>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</si>
  <si>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</si>
  <si>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</si>
  <si>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</si>
  <si>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</si>
  <si>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</si>
  <si>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</si>
  <si>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</si>
  <si>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</si>
  <si>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</si>
  <si>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</si>
  <si>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</si>
  <si>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</si>
  <si>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</si>
  <si>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</si>
  <si>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</si>
  <si>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</si>
  <si>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</si>
  <si>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</si>
  <si>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</si>
  <si>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</si>
  <si>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</si>
  <si>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</si>
  <si>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</si>
  <si>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</si>
  <si>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</si>
  <si>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</si>
  <si>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</si>
  <si>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</si>
  <si>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</si>
  <si>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</si>
  <si>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</si>
  <si>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</si>
  <si>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</si>
  <si>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</si>
  <si>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</si>
  <si>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</si>
  <si>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</si>
  <si>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</si>
  <si>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</si>
  <si>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</si>
  <si>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</si>
  <si>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</si>
  <si>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</si>
  <si>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</si>
  <si>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</si>
  <si>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</si>
  <si>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</si>
  <si>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</si>
  <si>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</si>
  <si>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</si>
  <si>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</si>
  <si>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</si>
  <si>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</si>
  <si>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</si>
  <si>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</si>
  <si>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</si>
  <si>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</si>
  <si>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</si>
  <si>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</si>
  <si>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</si>
  <si>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</si>
  <si>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</si>
  <si>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</si>
  <si>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</si>
  <si>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</si>
  <si>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</si>
  <si>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</si>
  <si>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</si>
  <si>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</si>
  <si>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</si>
  <si>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</si>
  <si>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</si>
  <si>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</si>
  <si>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</si>
  <si>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</si>
  <si>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</si>
  <si>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</si>
  <si>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</si>
  <si>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</si>
  <si>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</si>
  <si>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</si>
  <si>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</si>
  <si>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</si>
  <si>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</si>
  <si>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</si>
  <si>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</si>
  <si>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</si>
  <si>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</si>
  <si>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</si>
  <si>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</si>
  <si>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</si>
  <si>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</si>
  <si>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</si>
  <si>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</si>
  <si>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</si>
  <si>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</si>
  <si>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</si>
  <si>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</si>
  <si>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</si>
  <si>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</si>
  <si>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</si>
  <si>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</si>
  <si>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</si>
  <si>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</si>
  <si>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</si>
  <si>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</si>
  <si>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</si>
  <si>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</si>
  <si>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</si>
  <si>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</si>
  <si>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</si>
  <si>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</si>
  <si>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</si>
  <si>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</si>
  <si>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</si>
  <si>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</si>
  <si>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</si>
  <si>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</si>
  <si>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</si>
  <si>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</si>
  <si>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</si>
  <si>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</si>
  <si>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</si>
  <si>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</si>
  <si>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</si>
  <si>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</si>
  <si>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</si>
  <si>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</si>
  <si>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</si>
  <si>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</si>
  <si>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</si>
  <si>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</si>
  <si>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</si>
  <si>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</si>
  <si>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</si>
  <si>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</si>
  <si>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</si>
  <si>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</si>
  <si>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</si>
  <si>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</si>
  <si>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</si>
  <si>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</si>
  <si>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</si>
  <si>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</si>
  <si>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</si>
  <si>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</si>
  <si>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</si>
  <si>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</si>
  <si>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</si>
  <si>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</si>
  <si>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</si>
  <si>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</si>
  <si>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</si>
  <si>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</si>
  <si>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</si>
  <si>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</si>
  <si>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</si>
  <si>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</si>
  <si>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</si>
  <si>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</si>
  <si>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</si>
  <si>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</si>
  <si>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</si>
  <si>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</si>
  <si>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</si>
  <si>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</si>
  <si>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</si>
  <si>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</si>
  <si>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</si>
  <si>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</si>
  <si>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</si>
  <si>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</si>
  <si>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</si>
  <si>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</si>
  <si>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</si>
  <si>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</si>
  <si>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</si>
  <si>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</si>
  <si>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</si>
  <si>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</si>
  <si>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</si>
  <si>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</si>
  <si>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</si>
  <si>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</si>
  <si>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</si>
  <si>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</si>
  <si>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</si>
  <si>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</si>
  <si>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</si>
  <si>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</si>
  <si>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</si>
  <si>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</si>
  <si>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</si>
  <si>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</si>
  <si>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</si>
  <si>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</si>
  <si>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</si>
  <si>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</si>
  <si>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</si>
  <si>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</si>
  <si>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</si>
  <si>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</si>
  <si>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</si>
  <si>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</si>
  <si>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</si>
  <si>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</si>
  <si>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</si>
  <si>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</si>
  <si>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</si>
  <si>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</si>
  <si>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</si>
  <si>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</si>
  <si>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</si>
  <si>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</si>
  <si>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</si>
  <si>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</si>
  <si>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</si>
  <si>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</si>
  <si>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</si>
  <si>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</si>
  <si>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</si>
  <si>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</si>
  <si>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</si>
  <si>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</si>
  <si>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</si>
  <si>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</si>
  <si>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</si>
  <si>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</si>
  <si>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</si>
  <si>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</si>
  <si>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</si>
  <si>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</si>
  <si>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</si>
  <si>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</si>
  <si>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</si>
  <si>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</si>
  <si>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</si>
  <si>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</si>
  <si>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</si>
  <si>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</si>
  <si>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</si>
  <si>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</si>
  <si>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</si>
  <si>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</si>
  <si>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</si>
  <si>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</si>
  <si>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</si>
  <si>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</si>
  <si>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</si>
  <si>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</si>
  <si>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</si>
  <si>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</si>
  <si>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</si>
  <si>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</si>
  <si>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</si>
  <si>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</si>
  <si>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</si>
  <si>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</si>
  <si>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</si>
  <si>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</si>
  <si>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</si>
  <si>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</si>
  <si>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</si>
  <si>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</si>
  <si>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</si>
  <si>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</si>
  <si>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</si>
  <si>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</si>
  <si>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</si>
  <si>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</si>
  <si>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</si>
  <si>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</si>
  <si>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</si>
  <si>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</si>
  <si>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</si>
  <si>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</si>
  <si>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</si>
  <si>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</si>
  <si>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</si>
  <si>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</si>
  <si>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</si>
  <si>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</si>
  <si>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</si>
  <si>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</si>
  <si>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</si>
  <si>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</si>
  <si>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</si>
  <si>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</si>
  <si>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</si>
  <si>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</si>
  <si>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</si>
  <si>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</si>
  <si>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</si>
  <si>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</si>
  <si>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</si>
  <si>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</si>
  <si>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</si>
  <si>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</si>
  <si>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</si>
  <si>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</si>
  <si>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</si>
  <si>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</si>
  <si>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</si>
  <si>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</si>
  <si>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</si>
  <si>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</si>
  <si>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</si>
  <si>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</si>
  <si>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</si>
  <si>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</si>
  <si>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</si>
  <si>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</si>
  <si>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</si>
  <si>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</si>
  <si>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</si>
  <si>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</si>
  <si>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</si>
  <si>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</si>
  <si>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</si>
  <si>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</si>
  <si>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</si>
  <si>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</si>
  <si>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</si>
  <si>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</si>
  <si>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</si>
  <si>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</si>
  <si>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</si>
  <si>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</si>
  <si>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</si>
  <si>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</si>
  <si>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</si>
  <si>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</si>
  <si>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</si>
  <si>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</si>
  <si>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</si>
  <si>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</si>
  <si>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</si>
  <si>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</si>
  <si>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</si>
  <si>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</si>
  <si>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</si>
  <si>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</si>
  <si>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</si>
  <si>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</si>
  <si>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</si>
  <si>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</si>
  <si>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</si>
  <si>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</si>
  <si>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</si>
  <si>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</si>
  <si>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</si>
  <si>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</si>
  <si>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</si>
  <si>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</si>
  <si>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</si>
  <si>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</si>
  <si>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</si>
  <si>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</si>
  <si>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</si>
  <si>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</si>
  <si>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</si>
  <si>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</si>
  <si>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</si>
  <si>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</si>
  <si>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</si>
  <si>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</si>
  <si>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</si>
  <si>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</si>
  <si>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</si>
  <si>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</si>
  <si>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</si>
  <si>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</si>
  <si>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</si>
  <si>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</si>
  <si>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</si>
  <si>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</si>
  <si>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</si>
  <si>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</si>
  <si>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</si>
  <si>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</si>
  <si>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</si>
  <si>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</si>
  <si>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</si>
  <si>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</si>
  <si>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</si>
  <si>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</si>
  <si>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</si>
  <si>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</si>
  <si>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</si>
  <si>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</si>
  <si>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</si>
  <si>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</si>
  <si>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</si>
  <si>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</si>
  <si>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</si>
  <si>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</si>
  <si>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</si>
  <si>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</si>
  <si>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</si>
  <si>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</si>
  <si>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</si>
  <si>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</si>
  <si>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</si>
  <si>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</si>
  <si>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</si>
  <si>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</si>
  <si>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</si>
  <si>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</si>
  <si>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</si>
  <si>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</si>
  <si>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</si>
  <si>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</si>
  <si>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</si>
  <si>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</si>
  <si>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</si>
  <si>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</si>
  <si>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</si>
  <si>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</si>
  <si>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</si>
  <si>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</si>
  <si>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</si>
  <si>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</si>
  <si>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</si>
  <si>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</si>
  <si>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</si>
  <si>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</si>
  <si>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</si>
  <si>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</si>
  <si>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</si>
  <si>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</si>
  <si>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</si>
  <si>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</si>
  <si>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</si>
  <si>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</si>
  <si>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</si>
  <si>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</si>
  <si>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</si>
  <si>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</si>
  <si>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</si>
  <si>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</si>
  <si>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</si>
  <si>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</si>
  <si>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</si>
  <si>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</si>
  <si>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</si>
  <si>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</si>
  <si>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</si>
  <si>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</si>
  <si>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</si>
  <si>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</si>
  <si>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</si>
  <si>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</si>
  <si>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</si>
  <si>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</si>
  <si>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</si>
  <si>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</si>
  <si>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</si>
  <si>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</si>
  <si>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</si>
  <si>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</si>
  <si>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</si>
  <si>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</si>
  <si>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</si>
  <si>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</si>
  <si>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</si>
  <si>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</si>
  <si>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</si>
  <si>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</si>
  <si>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</si>
  <si>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</si>
  <si>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</si>
  <si>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</si>
  <si>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</si>
  <si>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</si>
  <si>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</si>
  <si>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</si>
  <si>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</si>
  <si>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</si>
  <si>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</si>
  <si>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</si>
  <si>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</si>
  <si>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</si>
  <si>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</si>
  <si>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</si>
  <si>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</si>
  <si>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</si>
  <si>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</si>
  <si>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</si>
  <si>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</si>
  <si>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</si>
  <si>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</si>
  <si>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</si>
  <si>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</si>
  <si>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</si>
  <si>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</si>
  <si>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</si>
  <si>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</si>
  <si>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</si>
  <si>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</si>
  <si>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</si>
  <si>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</si>
  <si>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</si>
  <si>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</si>
  <si>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</si>
  <si>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</si>
  <si>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</si>
  <si>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</si>
  <si>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</si>
  <si>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</si>
  <si>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</si>
  <si>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</si>
  <si>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</si>
  <si>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</si>
  <si>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</si>
  <si>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</si>
  <si>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</si>
  <si>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</si>
  <si>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</si>
  <si>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</si>
  <si>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</si>
  <si>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</si>
  <si>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</si>
  <si>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</si>
  <si>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</si>
  <si>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</si>
  <si>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</si>
  <si>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</si>
  <si>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</si>
  <si>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</si>
  <si>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</si>
  <si>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</si>
  <si>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</si>
  <si>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</si>
  <si>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</si>
  <si>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</si>
  <si>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</si>
  <si>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</si>
  <si>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</si>
  <si>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</si>
  <si>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</si>
  <si>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</si>
  <si>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</si>
  <si>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</si>
  <si>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</si>
  <si>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</si>
  <si>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</si>
  <si>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</si>
  <si>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</si>
  <si>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</si>
  <si>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</si>
  <si>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</si>
  <si>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</si>
  <si>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</si>
  <si>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</si>
  <si>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</si>
  <si>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</si>
  <si>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</si>
  <si>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</si>
  <si>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</si>
  <si>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</si>
  <si>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</si>
  <si>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</si>
  <si>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</si>
  <si>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</si>
  <si>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</si>
  <si>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</si>
  <si>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</si>
  <si>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</si>
  <si>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</si>
  <si>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</si>
  <si>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</si>
  <si>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</si>
  <si>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</si>
  <si>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</si>
  <si>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</si>
  <si>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</si>
  <si>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</si>
  <si>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</si>
  <si>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</si>
  <si>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</si>
  <si>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</si>
  <si>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</si>
  <si>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</si>
  <si>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</si>
  <si>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</si>
  <si>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</si>
  <si>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</si>
  <si>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</si>
  <si>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</si>
  <si>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</si>
  <si>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</si>
  <si>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</si>
  <si>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</si>
  <si>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</si>
  <si>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</si>
  <si>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</si>
  <si>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</si>
  <si>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</si>
  <si>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</si>
  <si>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</si>
  <si>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</si>
  <si>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</si>
  <si>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</si>
  <si>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</si>
  <si>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</si>
  <si>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</si>
  <si>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</si>
  <si>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</si>
  <si>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</si>
  <si>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</si>
  <si>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</si>
  <si>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</si>
  <si>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</si>
  <si>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</si>
  <si>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</si>
  <si>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</si>
  <si>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</si>
  <si>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</si>
  <si>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</si>
  <si>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</si>
  <si>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</si>
  <si>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</si>
  <si>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</si>
  <si>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</si>
  <si>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</si>
  <si>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</si>
  <si>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</si>
  <si>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</si>
  <si>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</si>
  <si>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</si>
  <si>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</si>
  <si>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</si>
  <si>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</si>
  <si>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</si>
  <si>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</si>
  <si>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</si>
  <si>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</si>
  <si>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</si>
  <si>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</si>
  <si>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</si>
  <si>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</si>
  <si>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</si>
  <si>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</si>
  <si>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</si>
  <si>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</si>
  <si>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</si>
  <si>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</si>
  <si>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</si>
  <si>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</si>
  <si>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</si>
  <si>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</si>
  <si>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</si>
  <si>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</si>
  <si>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</si>
  <si>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</si>
  <si>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</si>
  <si>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</si>
  <si>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</si>
  <si>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</si>
  <si>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</si>
  <si>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</si>
  <si>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</si>
  <si>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</si>
  <si>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</si>
  <si>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</si>
  <si>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</si>
  <si>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</si>
  <si>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</si>
  <si>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</si>
  <si>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</si>
  <si>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</si>
  <si>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</si>
  <si>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</si>
  <si>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</si>
  <si>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</si>
  <si>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</si>
  <si>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</si>
  <si>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</si>
  <si>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</si>
  <si>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</si>
  <si>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</si>
  <si>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</si>
  <si>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</si>
  <si>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</si>
  <si>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</si>
  <si>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</si>
  <si>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</si>
  <si>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</si>
  <si>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</si>
  <si>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</si>
  <si>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</si>
  <si>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</si>
  <si>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</si>
  <si>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</si>
  <si>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</si>
  <si>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</si>
  <si>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</si>
  <si>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</si>
  <si>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</si>
  <si>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</si>
  <si>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</si>
  <si>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</si>
  <si>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</si>
  <si>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</si>
  <si>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</si>
  <si>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</si>
  <si>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</si>
  <si>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</si>
  <si>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</si>
  <si>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</si>
  <si>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</si>
  <si>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</si>
  <si>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</si>
  <si>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</si>
  <si>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</si>
  <si>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</si>
  <si>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</si>
  <si>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</si>
  <si>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</si>
  <si>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</si>
  <si>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</si>
  <si>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</si>
  <si>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</si>
  <si>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</si>
  <si>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</si>
  <si>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</si>
  <si>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</si>
  <si>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</si>
  <si>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</si>
  <si>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</si>
  <si>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</si>
  <si>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</si>
  <si>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</si>
  <si>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</si>
  <si>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</si>
  <si>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</si>
  <si>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</si>
  <si>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</si>
  <si>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</si>
  <si>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</si>
  <si>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</si>
  <si>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</si>
  <si>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</si>
  <si>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</si>
  <si>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</si>
  <si>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</si>
  <si>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</si>
  <si>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</si>
  <si>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</si>
  <si>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</si>
  <si>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</si>
  <si>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</si>
  <si>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</si>
  <si>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</si>
  <si>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</si>
  <si>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</si>
  <si>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</si>
  <si>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</si>
  <si>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</si>
  <si>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</si>
  <si>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</si>
  <si>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</si>
  <si>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</si>
  <si>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</si>
  <si>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</si>
  <si>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</si>
  <si>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</si>
  <si>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</si>
  <si>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</si>
  <si>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</si>
  <si>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</si>
  <si>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</si>
  <si>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</si>
  <si>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</si>
  <si>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</si>
  <si>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</si>
  <si>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</si>
  <si>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</si>
  <si>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</si>
  <si>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</si>
  <si>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</si>
  <si>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</si>
  <si>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</si>
  <si>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</si>
  <si>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</si>
  <si>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</si>
  <si>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</si>
  <si>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</si>
  <si>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</si>
  <si>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</si>
  <si>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</si>
  <si>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</si>
  <si>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</si>
  <si>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</si>
  <si>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</si>
  <si>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</si>
  <si>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</si>
  <si>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</si>
  <si>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</si>
  <si>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</si>
  <si>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</si>
  <si>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</si>
  <si>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</si>
  <si>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</si>
  <si>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</si>
  <si>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</si>
  <si>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</si>
  <si>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</si>
  <si>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</si>
  <si>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</si>
  <si>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</si>
  <si>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</si>
  <si>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</si>
  <si>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</si>
  <si>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</si>
  <si>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</si>
  <si>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</si>
  <si>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</si>
  <si>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</si>
  <si>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</si>
  <si>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</si>
  <si>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</si>
  <si>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</si>
  <si>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</si>
  <si>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</si>
  <si>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</si>
  <si>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</si>
  <si>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</si>
  <si>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</si>
  <si>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</si>
  <si>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</si>
  <si>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</si>
  <si>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</si>
  <si>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</si>
  <si>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</si>
  <si>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</si>
  <si>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</si>
  <si>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</si>
  <si>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</si>
  <si>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</si>
  <si>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</si>
  <si>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</si>
  <si>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</si>
  <si>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</si>
  <si>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</si>
  <si>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</si>
  <si>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</si>
  <si>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</si>
  <si>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</si>
  <si>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</si>
  <si>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</si>
  <si>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</si>
  <si>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</si>
  <si>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</si>
  <si>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</si>
  <si>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</si>
  <si>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</si>
  <si>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</si>
  <si>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</si>
  <si>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</si>
  <si>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</si>
  <si>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</si>
  <si>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</si>
  <si>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</si>
  <si>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</si>
  <si>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</si>
  <si>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</si>
  <si>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</si>
  <si>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</si>
  <si>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</si>
  <si>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</si>
  <si>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</si>
  <si>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</si>
  <si>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</si>
  <si>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</si>
  <si>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</si>
  <si>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</si>
  <si>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</si>
  <si>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</si>
  <si>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</si>
  <si>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</si>
  <si>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</si>
  <si>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</si>
  <si>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</si>
  <si>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</si>
  <si>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</si>
  <si>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</si>
  <si>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</si>
  <si>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</si>
  <si>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</si>
  <si>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</si>
  <si>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</si>
  <si>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</si>
  <si>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</si>
  <si>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</si>
  <si>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</si>
  <si>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</si>
  <si>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</si>
  <si>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</si>
  <si>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</si>
  <si>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</si>
  <si>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</si>
  <si>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</si>
  <si>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</si>
  <si>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</si>
  <si>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</si>
  <si>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</si>
  <si>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</si>
  <si>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</si>
  <si>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</si>
  <si>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</si>
  <si>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</si>
  <si>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</si>
  <si>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</si>
  <si>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</si>
  <si>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</si>
  <si>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</si>
  <si>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</si>
  <si>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</si>
  <si>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</si>
  <si>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</si>
  <si>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</si>
  <si>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</si>
  <si>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</si>
  <si>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</si>
  <si>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</si>
  <si>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</si>
  <si>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</si>
  <si>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</si>
  <si>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</si>
  <si>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</si>
  <si>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</si>
  <si>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</si>
  <si>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</si>
  <si>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</si>
  <si>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</si>
  <si>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</si>
  <si>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</si>
  <si>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</si>
  <si>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</si>
  <si>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</si>
  <si>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</si>
  <si>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</si>
  <si>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</si>
  <si>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</si>
  <si>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</si>
  <si>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</si>
  <si>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</si>
  <si>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</si>
  <si>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</si>
  <si>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</si>
  <si>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</si>
  <si>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</si>
  <si>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</si>
  <si>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</si>
  <si>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</si>
  <si>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</si>
  <si>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</si>
  <si>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</si>
  <si>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</si>
  <si>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</si>
  <si>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</si>
  <si>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</si>
  <si>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</si>
  <si>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</si>
  <si>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</si>
  <si>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</si>
  <si>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</si>
  <si>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</si>
  <si>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</si>
  <si>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</si>
  <si>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</si>
  <si>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</si>
  <si>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</si>
  <si>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</si>
  <si>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</si>
  <si>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</si>
  <si>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</si>
  <si>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</si>
  <si>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</si>
  <si>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</si>
  <si>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</si>
  <si>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</si>
  <si>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</si>
  <si>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</si>
  <si>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</si>
  <si>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</si>
  <si>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</si>
  <si>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</si>
  <si>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</si>
  <si>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</si>
  <si>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</si>
  <si>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</si>
  <si>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</si>
  <si>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</si>
  <si>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</si>
  <si>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</si>
  <si>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</si>
  <si>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</si>
  <si>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</si>
  <si>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</si>
  <si>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</si>
  <si>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</si>
  <si>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</si>
  <si>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</si>
  <si>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</si>
  <si>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</si>
  <si>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</si>
  <si>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</si>
  <si>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</si>
  <si>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</si>
  <si>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</si>
  <si>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</si>
  <si>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</si>
  <si>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</si>
  <si>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</si>
  <si>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</si>
  <si>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</si>
  <si>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</si>
  <si>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</si>
  <si>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</si>
  <si>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</si>
  <si>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</si>
  <si>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</si>
  <si>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</si>
  <si>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</si>
  <si>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</si>
  <si>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</si>
  <si>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</si>
  <si>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</si>
  <si>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</si>
  <si>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</si>
  <si>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</si>
  <si>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</si>
  <si>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</si>
  <si>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</si>
  <si>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</si>
  <si>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</si>
  <si>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</si>
  <si>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</si>
  <si>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</si>
  <si>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</si>
  <si>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</si>
  <si>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</si>
  <si>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</si>
  <si>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</si>
  <si>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</si>
  <si>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</si>
  <si>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</si>
  <si>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</si>
  <si>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</si>
  <si>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</si>
  <si>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</si>
  <si>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</si>
  <si>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</si>
  <si>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</si>
  <si>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</si>
  <si>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</si>
  <si>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</si>
  <si>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</si>
  <si>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</si>
  <si>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</si>
  <si>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</si>
  <si>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</si>
  <si>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</si>
  <si>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</si>
  <si>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</si>
  <si>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</si>
  <si>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</si>
  <si>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</si>
  <si>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</si>
  <si>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</si>
  <si>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</si>
  <si>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</si>
  <si>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</si>
  <si>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</si>
  <si>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</si>
  <si>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</si>
  <si>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</si>
  <si>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</si>
  <si>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</si>
  <si>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</si>
  <si>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</si>
  <si>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</si>
  <si>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</si>
  <si>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</si>
  <si>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</si>
  <si>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</si>
  <si>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</si>
  <si>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</si>
  <si>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</si>
  <si>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</si>
  <si>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</si>
  <si>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</si>
  <si>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</si>
  <si>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</si>
  <si>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</si>
  <si>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</si>
  <si>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</si>
  <si>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</si>
  <si>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</si>
  <si>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</si>
  <si>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</si>
  <si>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</si>
  <si>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</si>
  <si>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</si>
  <si>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</si>
  <si>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</si>
  <si>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</si>
  <si>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</si>
  <si>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</si>
  <si>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</si>
  <si>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</si>
  <si>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</si>
  <si>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</si>
  <si>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</si>
  <si>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</si>
  <si>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</si>
  <si>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</si>
  <si>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</si>
  <si>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</si>
  <si>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</si>
  <si>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</si>
  <si>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</si>
  <si>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</si>
  <si>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</si>
  <si>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</si>
  <si>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</si>
  <si>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</si>
  <si>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</si>
  <si>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</si>
  <si>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</si>
  <si>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</si>
  <si>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</si>
  <si>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</si>
  <si>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</si>
  <si>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</si>
  <si>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</si>
  <si>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</si>
  <si>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</si>
  <si>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</si>
  <si>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</si>
  <si>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</si>
  <si>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</si>
  <si>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</si>
  <si>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</si>
  <si>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</si>
  <si>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</si>
  <si>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</si>
  <si>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</si>
  <si>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</si>
  <si>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</si>
  <si>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</si>
  <si>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</si>
  <si>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</si>
  <si>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</si>
  <si>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</si>
  <si>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</si>
  <si>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</si>
  <si>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</si>
  <si>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</si>
  <si>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</si>
  <si>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</si>
  <si>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</si>
  <si>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</si>
  <si>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</si>
  <si>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</si>
  <si>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</si>
  <si>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</si>
  <si>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</si>
  <si>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</si>
  <si>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</si>
  <si>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</si>
  <si>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</si>
  <si>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</si>
  <si>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</si>
  <si>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</si>
  <si>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</si>
  <si>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</si>
  <si>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</si>
  <si>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</si>
  <si>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</si>
  <si>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</si>
  <si>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</si>
  <si>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</si>
  <si>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</si>
  <si>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</si>
  <si>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</si>
  <si>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</si>
  <si>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</si>
  <si>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</si>
  <si>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</si>
  <si>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</si>
  <si>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</si>
  <si>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</si>
  <si>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</si>
  <si>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</si>
  <si>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</si>
  <si>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</si>
  <si>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</si>
  <si>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</si>
  <si>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</si>
  <si>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</si>
  <si>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</si>
  <si>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</si>
  <si>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</si>
  <si>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</si>
  <si>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</si>
  <si>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</si>
  <si>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</si>
  <si>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</si>
  <si>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</si>
  <si>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</si>
  <si>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</si>
  <si>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</si>
  <si>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</si>
  <si>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</si>
  <si>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</si>
  <si>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</si>
  <si>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</si>
  <si>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</si>
  <si>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</si>
  <si>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</si>
  <si>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</si>
  <si>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</si>
  <si>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</si>
  <si>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</si>
  <si>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</si>
  <si>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</si>
  <si>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</si>
  <si>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</si>
  <si>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</si>
  <si>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</si>
  <si>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</si>
  <si>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</si>
  <si>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</si>
  <si>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</si>
  <si>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</si>
  <si>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</si>
  <si>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</si>
  <si>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</si>
  <si>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</si>
  <si>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</si>
  <si>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</si>
  <si>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</si>
  <si>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</si>
  <si>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</si>
  <si>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</si>
  <si>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</si>
  <si>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</si>
  <si>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</si>
  <si>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</si>
  <si>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</si>
  <si>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</si>
  <si>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</si>
  <si>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</si>
  <si>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</si>
  <si>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</si>
  <si>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</si>
  <si>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</si>
  <si>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</si>
  <si>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</si>
  <si>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</si>
  <si>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</si>
  <si>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</si>
  <si>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</si>
  <si>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</si>
  <si>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</si>
  <si>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</si>
  <si>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</si>
  <si>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</si>
  <si>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</si>
  <si>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</si>
  <si>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</si>
  <si>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</si>
  <si>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</si>
  <si>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</si>
  <si>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</si>
  <si>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</si>
  <si>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</si>
  <si>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</si>
  <si>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</si>
  <si>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</si>
  <si>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</si>
  <si>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</si>
  <si>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</si>
  <si>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</si>
  <si>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</si>
  <si>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</si>
  <si>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</si>
  <si>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</si>
  <si>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</si>
  <si>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</si>
  <si>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</si>
  <si>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</si>
  <si>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</si>
  <si>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</si>
  <si>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</si>
  <si>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</si>
  <si>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</si>
  <si>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</si>
  <si>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</si>
  <si>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</si>
  <si>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</si>
  <si>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</si>
  <si>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</si>
  <si>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</si>
  <si>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</si>
  <si>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</si>
  <si>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</si>
  <si>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</si>
  <si>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</si>
  <si>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</si>
  <si>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</si>
  <si>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</si>
  <si>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</si>
  <si>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</si>
  <si>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</si>
  <si>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</si>
  <si>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</si>
  <si>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</si>
  <si>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</si>
  <si>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</si>
  <si>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</si>
  <si>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</si>
  <si>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</si>
  <si>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</si>
  <si>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</si>
  <si>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</si>
  <si>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</si>
  <si>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</si>
  <si>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</si>
  <si>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</si>
  <si>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</si>
  <si>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</si>
  <si>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</si>
  <si>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</si>
  <si>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</si>
  <si>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</si>
  <si>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</si>
  <si>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</si>
  <si>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</si>
  <si>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</si>
  <si>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</si>
  <si>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</si>
  <si>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</si>
  <si>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</si>
  <si>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</si>
  <si>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</si>
  <si>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</si>
  <si>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</si>
  <si>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</si>
  <si>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</si>
  <si>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</si>
  <si>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</si>
  <si>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</si>
  <si>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</si>
  <si>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</si>
  <si>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</si>
  <si>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</si>
  <si>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</si>
  <si>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</si>
  <si>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</si>
  <si>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</si>
  <si>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</si>
  <si>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</si>
  <si>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</si>
  <si>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</si>
  <si>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</si>
  <si>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</si>
  <si>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</si>
  <si>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</si>
  <si>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</si>
  <si>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</si>
  <si>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</si>
  <si>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</si>
  <si>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</si>
  <si>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</si>
  <si>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</si>
  <si>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</si>
  <si>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</si>
  <si>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</si>
  <si>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</si>
  <si>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</si>
  <si>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</si>
  <si>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</si>
  <si>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</si>
  <si>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</si>
  <si>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</si>
  <si>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</si>
  <si>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</si>
  <si>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</si>
  <si>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</si>
  <si>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</si>
  <si>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</si>
  <si>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</si>
  <si>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</si>
  <si>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</si>
  <si>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</si>
  <si>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</si>
  <si>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</si>
  <si>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</si>
  <si>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</si>
  <si>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</si>
  <si>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</si>
  <si>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</si>
  <si>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</si>
  <si>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</si>
  <si>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</si>
  <si>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</si>
  <si>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</si>
  <si>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</si>
  <si>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</si>
  <si>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</si>
  <si>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</si>
  <si>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</si>
  <si>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</si>
  <si>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</si>
  <si>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</si>
  <si>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</si>
  <si>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</si>
  <si>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</si>
  <si>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</si>
  <si>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</si>
  <si>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</si>
  <si>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</si>
  <si>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</si>
  <si>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</si>
  <si>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</si>
  <si>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</si>
  <si>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</si>
  <si>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</si>
  <si>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</si>
  <si>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</si>
  <si>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</si>
  <si>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</si>
  <si>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</si>
  <si>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</si>
  <si>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</si>
  <si>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</si>
  <si>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</si>
  <si>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</si>
  <si>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</si>
  <si>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</si>
  <si>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</si>
  <si>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</si>
  <si>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</si>
  <si>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</si>
  <si>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</si>
  <si>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</si>
  <si>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</si>
  <si>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</si>
  <si>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</si>
  <si>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</si>
  <si>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</si>
  <si>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</si>
  <si>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</si>
  <si>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</si>
  <si>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</si>
  <si>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</si>
  <si>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</si>
  <si>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</si>
  <si>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</si>
  <si>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</si>
  <si>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</si>
  <si>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</si>
  <si>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</si>
  <si>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</si>
  <si>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</si>
  <si>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</si>
  <si>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</si>
  <si>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</si>
  <si>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</si>
  <si>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</si>
  <si>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</si>
  <si>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</si>
  <si>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</si>
  <si>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</si>
  <si>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</si>
  <si>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</si>
  <si>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</si>
  <si>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</si>
  <si>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</si>
  <si>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</si>
  <si>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</si>
  <si>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</si>
  <si>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</si>
  <si>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</si>
  <si>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</si>
  <si>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</si>
  <si>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</si>
  <si>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</si>
  <si>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</si>
  <si>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</si>
  <si>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</si>
  <si>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</si>
  <si>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</si>
  <si>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</si>
  <si>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</si>
  <si>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</si>
  <si>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</si>
  <si>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</si>
  <si>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</si>
  <si>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</si>
  <si>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</si>
  <si>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</si>
  <si>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</si>
  <si>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</si>
  <si>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</si>
  <si>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</si>
  <si>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</si>
  <si>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</si>
  <si>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</si>
  <si>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</si>
  <si>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</si>
  <si>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</si>
  <si>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</si>
  <si>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</si>
  <si>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</si>
  <si>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</si>
  <si>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</si>
  <si>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</si>
  <si>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</si>
  <si>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</si>
  <si>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</si>
  <si>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</si>
  <si>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</si>
  <si>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</si>
  <si>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</si>
  <si>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</si>
  <si>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</si>
  <si>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</si>
  <si>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</si>
  <si>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</si>
  <si>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</si>
  <si>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</si>
  <si>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</si>
  <si>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</si>
  <si>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</si>
  <si>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</si>
  <si>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</si>
  <si>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</si>
  <si>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</si>
  <si>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</si>
  <si>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</si>
  <si>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</si>
  <si>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</si>
  <si>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</si>
  <si>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</si>
  <si>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</si>
  <si>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</si>
  <si>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</si>
  <si>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</si>
  <si>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</si>
  <si>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</si>
  <si>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</si>
  <si>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</si>
  <si>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</si>
  <si>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</si>
  <si>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</si>
  <si>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</si>
  <si>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</si>
  <si>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</si>
  <si>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</si>
  <si>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</si>
  <si>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</si>
  <si>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</si>
  <si>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</si>
  <si>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</si>
  <si>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</si>
  <si>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</si>
  <si>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</si>
  <si>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</si>
  <si>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</si>
  <si>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</si>
  <si>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</si>
  <si>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</si>
  <si>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</si>
  <si>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</si>
  <si>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</si>
  <si>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</si>
  <si>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</si>
  <si>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</si>
  <si>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</si>
  <si>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</si>
  <si>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</si>
  <si>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</si>
  <si>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</si>
  <si>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</si>
  <si>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</si>
  <si>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</si>
  <si>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</si>
  <si>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</si>
  <si>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</si>
  <si>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</si>
  <si>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</si>
  <si>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</si>
  <si>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</si>
  <si>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</si>
  <si>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</si>
  <si>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</si>
  <si>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</si>
  <si>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</si>
  <si>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</si>
  <si>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</si>
  <si>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</si>
  <si>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</si>
  <si>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</si>
  <si>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</si>
  <si>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</si>
  <si>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</si>
  <si>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</si>
  <si>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</si>
  <si>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</si>
  <si>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</si>
  <si>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</si>
  <si>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</si>
  <si>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</si>
  <si>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</si>
  <si>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</si>
  <si>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</si>
  <si>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</si>
  <si>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</si>
  <si>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</si>
  <si>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</si>
  <si>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</si>
  <si>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</si>
  <si>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</si>
  <si>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</si>
  <si>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</si>
  <si>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</si>
  <si>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</si>
  <si>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</si>
  <si>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</si>
  <si>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</si>
  <si>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</si>
  <si>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</si>
  <si>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</si>
  <si>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</si>
  <si>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</si>
  <si>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</si>
  <si>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</si>
  <si>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</si>
  <si>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</si>
  <si>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</si>
  <si>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</si>
  <si>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</si>
  <si>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</si>
  <si>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</si>
  <si>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</si>
  <si>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</si>
  <si>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</si>
  <si>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</si>
  <si>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</si>
  <si>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</si>
  <si>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</si>
  <si>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</si>
  <si>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</si>
  <si>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</si>
  <si>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</si>
  <si>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</si>
  <si>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</si>
  <si>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</si>
  <si>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</si>
  <si>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</si>
  <si>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</si>
  <si>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</si>
  <si>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</si>
  <si>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</si>
  <si>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</si>
  <si>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</si>
  <si>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</si>
  <si>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</si>
  <si>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</si>
  <si>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</si>
  <si>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</si>
  <si>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</si>
  <si>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</si>
  <si>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</si>
  <si>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</si>
  <si>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</si>
  <si>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</si>
  <si>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</si>
  <si>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</si>
  <si>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</si>
  <si>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</si>
  <si>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</si>
  <si>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</si>
  <si>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</si>
  <si>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</si>
  <si>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</si>
  <si>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</si>
  <si>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</si>
  <si>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</si>
  <si>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</si>
  <si>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</si>
  <si>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</si>
  <si>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</si>
  <si>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</si>
  <si>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</si>
  <si>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</si>
  <si>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</si>
  <si>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</si>
  <si>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</si>
  <si>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</si>
  <si>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</si>
  <si>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</si>
  <si>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</si>
  <si>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</si>
  <si>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</si>
  <si>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</si>
  <si>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</si>
  <si>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</si>
  <si>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</si>
  <si>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</si>
  <si>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</si>
  <si>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</si>
  <si>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</si>
  <si>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</si>
  <si>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</si>
  <si>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</si>
  <si>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</si>
  <si>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</si>
  <si>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</si>
  <si>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</si>
  <si>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</si>
  <si>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</si>
  <si>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</si>
  <si>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</si>
  <si>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</si>
  <si>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</si>
  <si>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</si>
  <si>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</si>
  <si>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</si>
  <si>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</si>
  <si>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</si>
  <si>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</si>
  <si>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</si>
  <si>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</si>
  <si>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</si>
  <si>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</si>
  <si>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</si>
  <si>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</si>
  <si>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</si>
  <si>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</si>
  <si>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</si>
  <si>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</si>
  <si>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</si>
  <si>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</si>
  <si>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</si>
  <si>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</si>
  <si>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</si>
  <si>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</si>
  <si>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</si>
  <si>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</si>
  <si>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</si>
  <si>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</si>
  <si>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</si>
  <si>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</si>
  <si>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</si>
  <si>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</si>
  <si>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</si>
  <si>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</si>
  <si>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</si>
  <si>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</si>
  <si>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</si>
  <si>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</si>
  <si>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</si>
  <si>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</si>
  <si>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</si>
  <si>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</si>
  <si>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</si>
  <si>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</si>
  <si>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</si>
  <si>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</si>
  <si>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</si>
  <si>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</si>
  <si>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</si>
  <si>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</si>
  <si>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</si>
  <si>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</si>
  <si>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</si>
  <si>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</si>
  <si>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</si>
  <si>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</si>
  <si>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</si>
  <si>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</si>
  <si>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</si>
  <si>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</si>
  <si>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</si>
  <si>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</si>
  <si>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</si>
  <si>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</si>
  <si>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</si>
  <si>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</si>
  <si>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</si>
  <si>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</si>
  <si>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</si>
  <si>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</si>
  <si>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</si>
  <si>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</si>
  <si>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</si>
  <si>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</si>
  <si>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</si>
  <si>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</si>
  <si>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</si>
  <si>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</si>
  <si>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</si>
  <si>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</si>
  <si>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</si>
  <si>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</si>
  <si>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</si>
  <si>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</si>
  <si>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</si>
  <si>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</si>
  <si>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</si>
  <si>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</si>
  <si>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</si>
  <si>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</si>
  <si>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</si>
  <si>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</si>
  <si>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</si>
  <si>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</si>
  <si>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</si>
  <si>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</si>
  <si>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</si>
  <si>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</si>
  <si>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</si>
  <si>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</si>
  <si>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</si>
  <si>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</si>
  <si>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</si>
  <si>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</si>
  <si>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</si>
  <si>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</si>
  <si>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</si>
  <si>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</si>
  <si>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</si>
  <si>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</si>
  <si>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</si>
  <si>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</si>
  <si>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</si>
  <si>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</si>
  <si>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</si>
  <si>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</si>
  <si>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</si>
  <si>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</si>
  <si>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</si>
  <si>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</si>
  <si>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</si>
  <si>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</si>
  <si>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</si>
  <si>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</si>
  <si>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</si>
  <si>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</si>
  <si>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</si>
  <si>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</si>
  <si>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</si>
  <si>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</si>
  <si>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</si>
  <si>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</si>
  <si>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</si>
  <si>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</si>
  <si>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</si>
  <si>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</si>
  <si>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</si>
  <si>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</si>
  <si>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</si>
  <si>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</si>
  <si>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</si>
  <si>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</si>
  <si>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</si>
  <si>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</si>
  <si>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</si>
  <si>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</si>
  <si>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</si>
  <si>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</si>
  <si>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</si>
  <si>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</si>
  <si>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</si>
  <si>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</si>
  <si>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</si>
  <si>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</si>
  <si>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</si>
  <si>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</si>
  <si>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</si>
  <si>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</si>
  <si>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</si>
  <si>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</si>
  <si>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</si>
  <si>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</si>
  <si>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</si>
  <si>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</si>
  <si>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</si>
  <si>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</si>
  <si>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</si>
  <si>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</si>
  <si>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</si>
  <si>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</si>
  <si>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</si>
  <si>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</si>
  <si>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</si>
  <si>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</si>
  <si>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</si>
  <si>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</si>
  <si>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</si>
  <si>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</si>
  <si>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</si>
  <si>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</si>
  <si>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</si>
  <si>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</si>
  <si>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</si>
  <si>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</si>
  <si>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</si>
  <si>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</si>
  <si>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</si>
  <si>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</si>
  <si>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</si>
  <si>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</si>
  <si>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</si>
  <si>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</si>
  <si>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</si>
  <si>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</si>
  <si>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</si>
  <si>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</si>
  <si>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</si>
  <si>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</si>
  <si>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</si>
  <si>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</si>
  <si>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</si>
  <si>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</si>
  <si>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</si>
  <si>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</si>
  <si>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</si>
  <si>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</si>
  <si>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</si>
  <si>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</si>
  <si>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</si>
  <si>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</si>
  <si>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</si>
  <si>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</si>
  <si>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</si>
  <si>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</si>
  <si>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</si>
  <si>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</si>
  <si>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</si>
  <si>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</si>
  <si>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</si>
  <si>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</si>
  <si>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</si>
  <si>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</si>
  <si>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</si>
  <si>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</si>
  <si>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</si>
  <si>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</si>
  <si>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</si>
  <si>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</si>
  <si>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</si>
  <si>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</si>
  <si>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</si>
  <si>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</si>
  <si>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</si>
  <si>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</si>
  <si>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</si>
  <si>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</si>
  <si>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</si>
  <si>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</si>
  <si>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</si>
  <si>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</si>
  <si>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</si>
  <si>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</si>
  <si>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</si>
  <si>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</si>
  <si>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</si>
  <si>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</si>
  <si>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</si>
  <si>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</si>
  <si>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</si>
  <si>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</si>
  <si>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</si>
  <si>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</si>
  <si>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</si>
  <si>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</si>
  <si>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</si>
  <si>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</si>
  <si>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</si>
  <si>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</si>
  <si>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</si>
  <si>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</si>
  <si>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</si>
  <si>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</si>
  <si>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</si>
  <si>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</si>
  <si>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</si>
  <si>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</si>
  <si>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</si>
  <si>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</si>
  <si>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</si>
  <si>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</si>
  <si>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</si>
  <si>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</si>
  <si>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</si>
  <si>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</si>
  <si>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</si>
  <si>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</si>
  <si>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</si>
  <si>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</si>
  <si>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</si>
  <si>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</si>
  <si>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</si>
  <si>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</si>
  <si>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</si>
  <si>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</si>
  <si>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</si>
  <si>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</si>
  <si>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</si>
  <si>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</si>
  <si>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</si>
  <si>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</si>
  <si>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</si>
  <si>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</si>
  <si>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</si>
  <si>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</si>
  <si>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</si>
  <si>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</si>
  <si>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</si>
  <si>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</si>
  <si>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</si>
  <si>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</si>
  <si>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</si>
  <si>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</si>
  <si>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</si>
  <si>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</si>
  <si>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</si>
  <si>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</si>
  <si>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</si>
  <si>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</si>
  <si>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</si>
  <si>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</si>
  <si>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</si>
  <si>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</si>
  <si>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</si>
  <si>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</si>
  <si>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</si>
  <si>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</si>
  <si>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</si>
  <si>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</si>
  <si>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</si>
  <si>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</si>
  <si>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</si>
  <si>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</si>
  <si>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</si>
  <si>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</si>
  <si>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</si>
  <si>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</si>
  <si>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</si>
  <si>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</si>
  <si>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</si>
  <si>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</si>
  <si>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</si>
  <si>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</si>
  <si>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</si>
  <si>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</si>
  <si>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</si>
  <si>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</si>
  <si>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</si>
  <si>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</si>
  <si>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</si>
  <si>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</si>
  <si>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</si>
  <si>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</si>
  <si>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</si>
  <si>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</si>
  <si>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</si>
  <si>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</si>
  <si>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</si>
  <si>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</si>
  <si>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</si>
  <si>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</si>
  <si>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</si>
  <si>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</si>
  <si>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</si>
  <si>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</si>
  <si>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</si>
  <si>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</si>
  <si>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</si>
  <si>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</si>
  <si>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</si>
  <si>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</si>
  <si>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</si>
  <si>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</si>
  <si>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</si>
  <si>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</si>
  <si>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</si>
  <si>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</si>
  <si>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</si>
  <si>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</si>
  <si>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</si>
  <si>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</si>
  <si>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</si>
  <si>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</si>
  <si>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</si>
  <si>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</si>
  <si>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</si>
  <si>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</si>
  <si>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</si>
  <si>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</si>
  <si>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</si>
  <si>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</si>
  <si>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</si>
  <si>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</si>
  <si>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</si>
  <si>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</si>
  <si>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</si>
  <si>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</si>
  <si>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</si>
  <si>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</si>
  <si>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</si>
  <si>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</si>
  <si>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</si>
  <si>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</si>
  <si>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</si>
  <si>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</si>
  <si>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</si>
  <si>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</si>
  <si>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</si>
  <si>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</si>
  <si>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</si>
  <si>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</si>
  <si>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</si>
  <si>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</si>
  <si>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</si>
  <si>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</si>
  <si>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</si>
  <si>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</si>
  <si>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</si>
  <si>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</si>
  <si>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</si>
  <si>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</si>
  <si>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</si>
  <si>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</si>
  <si>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</si>
  <si>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</si>
  <si>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</si>
  <si>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</si>
  <si>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</si>
  <si>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</si>
  <si>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</si>
  <si>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</si>
  <si>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</si>
  <si>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</si>
  <si>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</si>
  <si>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</si>
  <si>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</si>
  <si>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</si>
  <si>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</si>
  <si>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</si>
  <si>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</si>
  <si>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</si>
  <si>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</si>
  <si>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</si>
  <si>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</si>
  <si>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</si>
  <si>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</si>
  <si>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</si>
  <si>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</si>
  <si>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</si>
  <si>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</si>
  <si>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</si>
  <si>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</si>
  <si>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</si>
  <si>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</si>
  <si>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</si>
  <si>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</si>
  <si>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</si>
  <si>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</si>
  <si>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</si>
  <si>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</si>
  <si>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</si>
  <si>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</si>
  <si>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</si>
  <si>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</si>
  <si>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</si>
  <si>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</si>
  <si>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</si>
  <si>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</si>
  <si>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</si>
  <si>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</si>
  <si>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</si>
  <si>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</si>
  <si>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</si>
  <si>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</si>
  <si>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</si>
  <si>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</si>
  <si>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</si>
  <si>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</si>
  <si>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</si>
  <si>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</si>
  <si>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</si>
  <si>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</si>
  <si>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</si>
  <si>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</si>
  <si>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</si>
  <si>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</si>
  <si>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</si>
  <si>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</si>
  <si>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</si>
  <si>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</si>
  <si>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</si>
  <si>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</si>
  <si>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</si>
  <si>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</si>
  <si>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</si>
  <si>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</si>
  <si>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</si>
  <si>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</si>
  <si>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</si>
  <si>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</si>
  <si>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</si>
  <si>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</si>
  <si>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</si>
  <si>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</si>
  <si>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</si>
  <si>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</si>
  <si>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</si>
  <si>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</si>
  <si>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</si>
  <si>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</si>
  <si>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</si>
  <si>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</si>
  <si>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</si>
  <si>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</si>
  <si>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</si>
  <si>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</si>
  <si>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</si>
  <si>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</si>
  <si>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</si>
  <si>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</si>
  <si>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</si>
  <si>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</si>
  <si>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</si>
  <si>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</si>
  <si>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</si>
  <si>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</si>
  <si>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</si>
  <si>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</si>
  <si>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</si>
  <si>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</si>
  <si>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</si>
  <si>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</si>
  <si>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</si>
  <si>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</si>
  <si>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</si>
  <si>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</si>
  <si>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</si>
  <si>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</si>
  <si>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</si>
  <si>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</si>
  <si>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</si>
  <si>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</si>
  <si>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</si>
  <si>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</si>
  <si>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</si>
  <si>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</si>
  <si>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</si>
  <si>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</si>
  <si>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</si>
  <si>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</si>
  <si>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</si>
  <si>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</si>
  <si>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</si>
  <si>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</si>
  <si>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</si>
  <si>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</si>
  <si>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</si>
  <si>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</si>
  <si>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</si>
  <si>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</si>
  <si>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</si>
  <si>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</si>
  <si>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</si>
  <si>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</si>
  <si>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</si>
  <si>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</si>
  <si>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</si>
  <si>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</si>
  <si>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</si>
  <si>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</si>
  <si>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</si>
  <si>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</si>
  <si>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</si>
  <si>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</si>
  <si>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</si>
  <si>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</si>
  <si>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</si>
  <si>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</si>
  <si>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</si>
  <si>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</si>
  <si>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</si>
  <si>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</si>
  <si>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</si>
  <si>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</si>
  <si>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</si>
  <si>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</si>
  <si>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</si>
  <si>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</si>
  <si>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</si>
  <si>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</si>
  <si>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</si>
  <si>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</si>
  <si>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</si>
  <si>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</si>
  <si>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</si>
  <si>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</si>
  <si>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</si>
  <si>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</si>
  <si>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</si>
  <si>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</si>
  <si>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</si>
  <si>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</si>
  <si>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</si>
  <si>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</si>
  <si>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</si>
  <si>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</si>
  <si>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</si>
  <si>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</si>
  <si>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</si>
  <si>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</si>
  <si>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</si>
  <si>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</si>
  <si>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</si>
  <si>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</si>
  <si>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</si>
  <si>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</si>
  <si>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</si>
  <si>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</si>
  <si>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</si>
  <si>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</si>
  <si>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</si>
  <si>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</si>
  <si>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</si>
  <si>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</si>
  <si>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</si>
  <si>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</si>
  <si>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</si>
  <si>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</si>
  <si>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</si>
  <si>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</si>
  <si>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</si>
  <si>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</si>
  <si>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</si>
  <si>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</si>
  <si>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</si>
  <si>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</si>
  <si>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</si>
  <si>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</si>
  <si>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</si>
  <si>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</si>
  <si>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</si>
  <si>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</si>
  <si>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</si>
  <si>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</si>
  <si>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</si>
  <si>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</si>
  <si>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</si>
  <si>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</si>
  <si>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</si>
  <si>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</si>
  <si>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</si>
  <si>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</si>
  <si>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</si>
  <si>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</si>
  <si>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</si>
  <si>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</si>
  <si>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</si>
  <si>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</si>
  <si>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</si>
  <si>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</si>
  <si>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</si>
  <si>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</si>
  <si>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</si>
  <si>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</si>
  <si>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</si>
  <si>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</si>
  <si>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</si>
  <si>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</si>
  <si>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</si>
  <si>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</si>
  <si>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</si>
  <si>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</si>
  <si>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</si>
  <si>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</si>
  <si>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</si>
  <si>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</si>
  <si>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</si>
  <si>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</si>
  <si>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</si>
  <si>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</si>
  <si>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</si>
  <si>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</si>
  <si>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</si>
  <si>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</si>
  <si>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</si>
  <si>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</si>
  <si>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</si>
  <si>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</si>
  <si>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</si>
  <si>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</si>
  <si>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</si>
  <si>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</si>
  <si>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</si>
  <si>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</si>
  <si>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</si>
  <si>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</si>
  <si>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</si>
  <si>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</si>
  <si>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</si>
  <si>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</si>
  <si>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</si>
  <si>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</si>
  <si>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</si>
  <si>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</si>
  <si>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</si>
  <si>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</si>
  <si>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</si>
  <si>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</si>
  <si>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</si>
  <si>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</si>
  <si>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</si>
  <si>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</si>
  <si>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</si>
  <si>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</si>
  <si>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</si>
  <si>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</si>
  <si>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</si>
  <si>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</si>
  <si>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</si>
  <si>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</si>
  <si>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</si>
  <si>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</si>
  <si>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</si>
  <si>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</si>
  <si>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</si>
  <si>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</si>
  <si>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</si>
  <si>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</si>
  <si>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</si>
  <si>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</si>
  <si>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</si>
  <si>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</si>
  <si>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</si>
  <si>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</si>
  <si>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</si>
  <si>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</si>
  <si>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</si>
  <si>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</si>
  <si>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</si>
  <si>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</si>
  <si>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</si>
  <si>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</si>
  <si>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</si>
  <si>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</si>
  <si>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</si>
  <si>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</si>
  <si>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</si>
  <si>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</si>
  <si>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</si>
  <si>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</si>
  <si>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</si>
  <si>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</si>
  <si>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</si>
  <si>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</si>
  <si>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</si>
  <si>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</si>
  <si>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</si>
  <si>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</si>
  <si>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</si>
  <si>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</si>
  <si>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</si>
  <si>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</si>
  <si>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</si>
  <si>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</si>
  <si>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</si>
  <si>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</si>
  <si>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</si>
  <si>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</si>
  <si>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</si>
  <si>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</si>
  <si>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</si>
  <si>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</si>
  <si>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</si>
  <si>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</si>
  <si>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</si>
  <si>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</si>
  <si>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</si>
  <si>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</si>
  <si>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</si>
  <si>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</si>
  <si>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</si>
  <si>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</si>
  <si>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</si>
  <si>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</si>
  <si>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</si>
  <si>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</si>
  <si>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</si>
  <si>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</si>
  <si>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</si>
  <si>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</si>
  <si>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</si>
  <si>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</si>
  <si>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</si>
  <si>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</si>
  <si>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</si>
  <si>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</si>
  <si>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</si>
  <si>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</si>
  <si>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</si>
  <si>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</si>
  <si>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</si>
  <si>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</si>
  <si>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</si>
  <si>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</si>
  <si>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</si>
  <si>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</si>
  <si>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</si>
  <si>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</si>
  <si>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</si>
  <si>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</si>
  <si>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</si>
  <si>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</si>
  <si>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</si>
  <si>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</si>
  <si>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</si>
  <si>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</si>
  <si>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</si>
  <si>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</si>
  <si>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</si>
  <si>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</si>
  <si>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</si>
  <si>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</si>
  <si>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</si>
  <si>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</si>
  <si>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</si>
  <si>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</si>
  <si>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</si>
  <si>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</si>
  <si>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</si>
  <si>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</si>
  <si>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</si>
  <si>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</si>
  <si>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</si>
  <si>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</si>
  <si>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</si>
  <si>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</si>
  <si>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</si>
  <si>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</si>
  <si>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</si>
  <si>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</si>
  <si>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</si>
  <si>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</si>
  <si>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</si>
  <si>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</si>
  <si>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</si>
  <si>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</si>
  <si>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</si>
  <si>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</si>
  <si>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</si>
  <si>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</si>
  <si>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</si>
  <si>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</si>
  <si>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</si>
  <si>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</si>
  <si>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</si>
  <si>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</si>
  <si>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</si>
  <si>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</si>
  <si>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</si>
  <si>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</si>
  <si>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</si>
  <si>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</si>
  <si>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</si>
  <si>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</si>
  <si>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</si>
  <si>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</si>
  <si>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</si>
  <si>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</si>
  <si>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</si>
  <si>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</si>
  <si>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</si>
  <si>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</si>
  <si>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</si>
  <si>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</si>
  <si>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</si>
  <si>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</si>
  <si>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</si>
  <si>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</si>
  <si>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</si>
  <si>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</si>
  <si>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</si>
  <si>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</si>
  <si>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</si>
  <si>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</si>
  <si>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</si>
  <si>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</si>
  <si>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</si>
  <si>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</si>
  <si>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</si>
  <si>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</si>
  <si>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</si>
  <si>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</si>
  <si>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</si>
  <si>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</si>
  <si>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</si>
  <si>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</si>
  <si>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</si>
  <si>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</si>
  <si>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</si>
  <si>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</si>
  <si>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</si>
  <si>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</si>
  <si>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</si>
  <si>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</si>
  <si>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</si>
  <si>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</si>
  <si>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</si>
  <si>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</si>
  <si>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</si>
  <si>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</si>
  <si>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</si>
  <si>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</si>
  <si>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</si>
  <si>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</si>
  <si>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</si>
  <si>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</si>
  <si>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</si>
  <si>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</si>
  <si>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</si>
  <si>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</si>
  <si>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</si>
  <si>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</si>
  <si>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</si>
  <si>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</si>
  <si>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</si>
  <si>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</si>
  <si>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</si>
  <si>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</si>
  <si>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</si>
  <si>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</si>
  <si>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</si>
  <si>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</si>
  <si>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</si>
  <si>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</si>
  <si>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</si>
  <si>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</si>
  <si>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</si>
  <si>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</si>
  <si>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</si>
  <si>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</si>
  <si>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</si>
  <si>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</si>
  <si>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</si>
  <si>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</si>
  <si>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</si>
  <si>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</si>
  <si>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</si>
  <si>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</si>
  <si>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</si>
  <si>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</si>
  <si>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</si>
  <si>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</si>
  <si>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</si>
  <si>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</si>
  <si>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</si>
  <si>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</si>
  <si>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</si>
  <si>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</si>
  <si>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</si>
  <si>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</si>
  <si>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</si>
  <si>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</si>
  <si>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</si>
  <si>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</si>
  <si>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</si>
  <si>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</si>
  <si>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</si>
  <si>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</si>
  <si>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</si>
  <si>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</si>
  <si>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</si>
  <si>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</si>
  <si>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</si>
  <si>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</si>
  <si>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</si>
  <si>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</si>
  <si>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</si>
  <si>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</si>
  <si>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</si>
  <si>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</si>
  <si>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</si>
  <si>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</si>
  <si>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</si>
  <si>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</si>
  <si>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</si>
  <si>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</si>
  <si>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</si>
  <si>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</si>
  <si>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</si>
  <si>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</si>
  <si>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</si>
  <si>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</si>
  <si>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</si>
  <si>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</si>
  <si>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</si>
  <si>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</si>
  <si>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</si>
  <si>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</si>
  <si>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</si>
  <si>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</si>
  <si>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</si>
  <si>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</si>
  <si>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</si>
  <si>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</si>
  <si>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</si>
  <si>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</si>
  <si>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</si>
  <si>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</si>
  <si>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</si>
  <si>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</si>
  <si>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</si>
  <si>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</si>
  <si>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</si>
  <si>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</si>
  <si>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</si>
  <si>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</si>
  <si>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</si>
  <si>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</si>
  <si>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</si>
  <si>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</si>
  <si>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</si>
  <si>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</si>
  <si>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</si>
  <si>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</si>
  <si>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</si>
  <si>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</si>
  <si>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</si>
  <si>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朝阳区朝阳门外大街18号</t>
  </si>
  <si>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</si>
  <si>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</si>
  <si>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</si>
  <si>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</si>
  <si>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</si>
  <si>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</si>
  <si>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</si>
  <si>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</si>
  <si>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</si>
  <si>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</si>
  <si>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</si>
  <si>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</si>
  <si>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</si>
  <si>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</si>
  <si>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</si>
  <si>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</si>
  <si>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</si>
  <si>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</si>
  <si>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</si>
  <si>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</si>
  <si>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</si>
  <si>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</si>
  <si>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</si>
  <si>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</si>
  <si>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</si>
  <si>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</si>
  <si>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</si>
  <si>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</si>
  <si>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</si>
  <si>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</si>
  <si>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</si>
  <si>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</si>
  <si>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</si>
  <si>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</si>
  <si>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</si>
  <si>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</si>
  <si>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</si>
  <si>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</si>
  <si>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</si>
  <si>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</si>
  <si>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</si>
  <si>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</si>
  <si>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</si>
  <si>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</si>
  <si>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</si>
  <si>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</si>
  <si>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</si>
  <si>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</si>
  <si>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</si>
  <si>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</si>
  <si>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</si>
  <si>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</si>
  <si>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</si>
  <si>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</si>
  <si>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</si>
  <si>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</si>
  <si>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t>低</t>
  </si>
  <si>
    <t>银鼎投资（北京）有限公司</t>
    <phoneticPr fontId="3" type="noConversion"/>
  </si>
  <si>
    <t>总建筑面积</t>
    <phoneticPr fontId="3" type="noConversion"/>
  </si>
  <si>
    <t>总土地面积</t>
    <phoneticPr fontId="3" type="noConversion"/>
  </si>
  <si>
    <t>项目模式</t>
  </si>
  <si>
    <t>收益法</t>
  </si>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</sst>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4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1" fillId="2" borderId="1" xfId="10" applyFont="1" applyFill="1" applyBorder="1" applyAlignment="1">
      <alignment horizontal="center" vertical="center"/>
    </xf>
    <xf numFmtId="0" fontId="272" fillId="0" borderId="1"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估价对象为北京市朝阳区朝阳门外大街18号房地产，为银鼎投资（北京）有限公司所有。根据《国有土地使用证》[]，估价对象（分摊）出让国有建设用地使用权面积为396.01平方米，建筑面积为3455.7平方米。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银鼎投资（北京）有限公司开发建设的办公项目，该项目尚在开发建设中。根据《国有土地使用证》[]，估价对象（分摊）出让国有建设用地使用权面积为396.01平方米，规划建筑面积为3455.7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2023年4月21日（评估专业人员实地查勘之日）</v>
      </c>
    </row>
    <row r="13" spans="1:2" s="1201" customFormat="1">
      <c r="A13" s="1199" t="s">
        <v>529</v>
      </c>
      <c r="B13" s="1200"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12008</v>
      </c>
    </row>
    <row r="21" spans="1:2" s="1201" customFormat="1">
      <c r="A21" s="1199" t="s">
        <v>537</v>
      </c>
      <c r="B21" s="1200">
        <f ca="1">'预评函-2'!D7</f>
        <v>34749</v>
      </c>
    </row>
    <row r="22" spans="1:2" s="1201" customFormat="1">
      <c r="A22" s="1199" t="s">
        <v>538</v>
      </c>
      <c r="B22" s="1200" t="str">
        <f ca="1">'预评函-2'!D6</f>
        <v>壹亿贰仟零捌万元整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12008</v>
      </c>
    </row>
    <row r="31" spans="1:2" s="1201" customFormat="1">
      <c r="A31" s="1199" t="s">
        <v>576</v>
      </c>
      <c r="B31" s="1200">
        <f ca="1">'预评函-2'!D15</f>
        <v>34749</v>
      </c>
    </row>
    <row r="32" spans="1:2" s="1201" customFormat="1">
      <c r="A32" s="1199" t="s">
        <v>543</v>
      </c>
      <c r="B32" s="1200" t="str">
        <f ca="1">'预评函-2'!D14</f>
        <v>壹亿贰仟零捌万元整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9235</v>
      </c>
    </row>
    <row r="39" spans="1:2" s="1201" customFormat="1">
      <c r="A39" s="1199" t="s">
        <v>545</v>
      </c>
      <c r="B39" s="1200">
        <f ca="1">'预评函-2'!D21</f>
        <v>26724</v>
      </c>
    </row>
    <row r="40" spans="1:2" s="1201" customFormat="1">
      <c r="A40" s="1199" t="s">
        <v>546</v>
      </c>
      <c r="B40" s="1200" t="str">
        <f ca="1">'预评函-2'!D20</f>
        <v>玖仟贰佰叁拾伍万元整</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3455.7</v>
      </c>
    </row>
    <row r="44" spans="1:2" s="1201" customFormat="1">
      <c r="A44" s="1199" t="s">
        <v>575</v>
      </c>
      <c r="B44" s="1200" t="str">
        <f>'预评函-3'!C2</f>
        <v>(分摊)土地面积</v>
      </c>
    </row>
    <row r="45" spans="1:2" s="1201" customFormat="1">
      <c r="A45" s="1199" t="s">
        <v>547</v>
      </c>
      <c r="B45" s="1200">
        <f>'预评函-3'!C4</f>
        <v>396.01</v>
      </c>
    </row>
    <row r="46" spans="1:2" s="1201" customFormat="1">
      <c r="A46" s="1199" t="s">
        <v>573</v>
      </c>
      <c r="B46" s="1200" t="str">
        <f>'预评函-3'!D2</f>
        <v>出让国有建设用地使用权价值</v>
      </c>
    </row>
    <row r="47" spans="1:2" s="1201" customFormat="1">
      <c r="A47" s="1199" t="s">
        <v>548</v>
      </c>
      <c r="B47" s="1200">
        <f ca="1">'预评函-3'!D4</f>
        <v>10123</v>
      </c>
    </row>
    <row r="48" spans="1:2" s="1201" customFormat="1">
      <c r="A48" s="1199" t="s">
        <v>549</v>
      </c>
      <c r="B48" s="1200">
        <f ca="1">'预评函-3'!E4</f>
        <v>29293</v>
      </c>
    </row>
    <row r="49" spans="1:2" s="1201" customFormat="1">
      <c r="A49" s="1199" t="s">
        <v>550</v>
      </c>
      <c r="B49" s="1200" t="str">
        <f ca="1">'预评函-3'!D5</f>
        <v>壹亿零壹佰贰拾叁万元整</v>
      </c>
    </row>
    <row r="50" spans="1:2" s="1201" customFormat="1">
      <c r="A50" s="1199" t="s">
        <v>574</v>
      </c>
      <c r="B50" s="1200" t="str">
        <f>'预评函-3'!F2</f>
        <v>在建建筑物价值</v>
      </c>
    </row>
    <row r="51" spans="1:2" s="1201" customFormat="1">
      <c r="A51" s="1199" t="s">
        <v>551</v>
      </c>
      <c r="B51" s="1200">
        <f ca="1">'预评函-3'!F4</f>
        <v>1885</v>
      </c>
    </row>
    <row r="52" spans="1:2" s="1201" customFormat="1">
      <c r="A52" s="1199" t="s">
        <v>552</v>
      </c>
      <c r="B52" s="1200">
        <f ca="1">'预评函-3'!G4</f>
        <v>5456</v>
      </c>
    </row>
    <row r="53" spans="1:2" s="1201" customFormat="1">
      <c r="A53" s="1199" t="s">
        <v>580</v>
      </c>
      <c r="B53" s="1200" t="str">
        <f ca="1">'预评函-3'!F5</f>
        <v>壹仟捌佰捌拾伍万元整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2571</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2572</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2284</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2" t="s">
        <v>385</v>
      </c>
      <c r="C54" s="1549" t="s">
        <v>583</v>
      </c>
    </row>
    <row r="55" spans="1:4">
      <c r="A55" s="3516"/>
      <c r="B55" s="1552" t="s">
        <v>386</v>
      </c>
      <c r="C55" s="1549" t="s">
        <v>584</v>
      </c>
    </row>
    <row r="56" spans="1:4">
      <c r="A56" s="3516"/>
      <c r="B56" s="1552" t="s">
        <v>387</v>
      </c>
      <c r="C56" s="1549" t="s">
        <v>588</v>
      </c>
    </row>
    <row r="57" spans="1:4">
      <c r="A57" s="351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2" t="s">
        <v>2587</v>
      </c>
      <c r="J1" s="3220"/>
      <c r="K1" s="3220"/>
      <c r="L1" s="3220"/>
      <c r="M1" s="3220"/>
      <c r="N1" s="3433"/>
      <c r="O1" s="3433"/>
      <c r="P1" s="3433"/>
      <c r="Q1" s="3433"/>
      <c r="R1" s="3433"/>
    </row>
    <row r="2" spans="1:18">
      <c r="A2" s="3010"/>
      <c r="B2" s="3011"/>
      <c r="C2" s="3011"/>
      <c r="D2" s="3011"/>
      <c r="E2" s="3011"/>
      <c r="F2" s="3012"/>
      <c r="I2" s="3517" t="s">
        <v>2574</v>
      </c>
      <c r="J2" s="3517"/>
      <c r="K2" s="3517"/>
      <c r="L2" s="3517"/>
      <c r="M2" s="3517"/>
      <c r="N2" s="3517"/>
      <c r="O2" s="3517"/>
      <c r="P2" s="3517"/>
      <c r="Q2" s="3517"/>
      <c r="R2" s="3517"/>
    </row>
    <row r="3" spans="1:18">
      <c r="A3" s="3013" t="s">
        <v>2495</v>
      </c>
      <c r="B3" s="3014">
        <f>项目基本情况!D3</f>
        <v>45037</v>
      </c>
      <c r="C3" s="3016"/>
      <c r="D3" s="3016"/>
      <c r="E3" s="3016"/>
      <c r="F3" s="3012"/>
      <c r="I3" s="3434"/>
      <c r="J3" s="3434" t="s">
        <v>2578</v>
      </c>
      <c r="K3" s="3434" t="s">
        <v>2579</v>
      </c>
      <c r="L3" s="3434" t="s">
        <v>2580</v>
      </c>
      <c r="M3" s="3434" t="s">
        <v>2581</v>
      </c>
      <c r="N3" s="3435" t="s">
        <v>2582</v>
      </c>
      <c r="O3" s="3435" t="s">
        <v>2583</v>
      </c>
      <c r="P3" s="3435" t="s">
        <v>2584</v>
      </c>
      <c r="Q3" s="3435" t="s">
        <v>2585</v>
      </c>
      <c r="R3" s="3435" t="s">
        <v>2586</v>
      </c>
    </row>
    <row r="4" spans="1:18">
      <c r="A4" s="3013" t="s">
        <v>2496</v>
      </c>
      <c r="B4" s="3016" t="s">
        <v>2497</v>
      </c>
      <c r="C4" s="3016" t="s">
        <v>2498</v>
      </c>
      <c r="D4" s="3016" t="s">
        <v>2499</v>
      </c>
      <c r="E4" s="3016" t="s">
        <v>2500</v>
      </c>
      <c r="F4" s="3012"/>
      <c r="I4" s="3434" t="s">
        <v>2575</v>
      </c>
      <c r="J4" s="3434">
        <v>80</v>
      </c>
      <c r="K4" s="3434">
        <v>70</v>
      </c>
      <c r="L4" s="3434">
        <v>20</v>
      </c>
      <c r="M4" s="3434">
        <v>30</v>
      </c>
      <c r="N4" s="3016">
        <v>45</v>
      </c>
      <c r="O4" s="3016">
        <v>60</v>
      </c>
      <c r="P4" s="3016">
        <v>50</v>
      </c>
      <c r="Q4" s="3016">
        <v>20</v>
      </c>
      <c r="R4" s="3016">
        <v>375</v>
      </c>
    </row>
    <row r="5" spans="1:18">
      <c r="A5" s="3017">
        <v>40</v>
      </c>
      <c r="B5" s="3014">
        <v>46375</v>
      </c>
      <c r="C5" s="3016">
        <f>ROUNDDOWN(MIN((B5-B3)/365,A5),2)</f>
        <v>3.66</v>
      </c>
      <c r="D5" s="3018">
        <f>IF(ISERROR(ROUND(POWER(1+E5,A5-C5)*(POWER(1+E5,C5)-1)/(POWER(1+E5,A5)-1),3)),0,ROUND(POWER(1+E5,A5-C5)*(POWER(1+E5,C5)-1)/(POWER(1+E5,A5)-1),4))</f>
        <v>0.16889999999999999</v>
      </c>
      <c r="E5" s="3019">
        <v>0.04</v>
      </c>
      <c r="F5" s="3012"/>
      <c r="I5" s="3434" t="s">
        <v>2576</v>
      </c>
      <c r="J5" s="3434">
        <v>70</v>
      </c>
      <c r="K5" s="3434">
        <v>60</v>
      </c>
      <c r="L5" s="3434">
        <v>15</v>
      </c>
      <c r="M5" s="3434">
        <v>25</v>
      </c>
      <c r="N5" s="3016">
        <v>40</v>
      </c>
      <c r="O5" s="3016">
        <v>50</v>
      </c>
      <c r="P5" s="3016">
        <v>40</v>
      </c>
      <c r="Q5" s="3016">
        <v>15</v>
      </c>
      <c r="R5" s="3016">
        <v>315</v>
      </c>
    </row>
    <row r="6" spans="1:18">
      <c r="A6" s="3017">
        <v>50</v>
      </c>
      <c r="B6" s="3014">
        <v>50028</v>
      </c>
      <c r="C6" s="3016">
        <f>ROUNDDOWN(MIN((B6-B3)/365,A6),2)</f>
        <v>13.67</v>
      </c>
      <c r="D6" s="3018">
        <f>IF(ISERROR(ROUND(POWER(1+E6,A6-C6)*(POWER(1+E6,C6)-1)/(POWER(1+E6,A6)-1),3)),0,ROUND(POWER(1+E6,A6-C6)*(POWER(1+E6,C6)-1)/(POWER(1+E6,A6)-1),4))</f>
        <v>0.48299999999999998</v>
      </c>
      <c r="E6" s="3019">
        <v>0.04</v>
      </c>
      <c r="F6" s="3012"/>
      <c r="I6" s="3434" t="s">
        <v>2577</v>
      </c>
      <c r="J6" s="3434">
        <v>60</v>
      </c>
      <c r="K6" s="3434">
        <v>50</v>
      </c>
      <c r="L6" s="3434">
        <v>10</v>
      </c>
      <c r="M6" s="3434">
        <v>20</v>
      </c>
      <c r="N6" s="3016">
        <v>35</v>
      </c>
      <c r="O6" s="3016">
        <v>40</v>
      </c>
      <c r="P6" s="3016">
        <v>30</v>
      </c>
      <c r="Q6" s="3016">
        <v>10</v>
      </c>
      <c r="R6" s="3016">
        <v>255</v>
      </c>
    </row>
    <row r="7" spans="1:18">
      <c r="A7" s="3017">
        <v>70</v>
      </c>
      <c r="B7" s="3014">
        <v>57333</v>
      </c>
      <c r="C7" s="3016">
        <f>ROUNDDOWN(MIN((B7-B3)/365,A7),2)</f>
        <v>33.68</v>
      </c>
      <c r="D7" s="3018">
        <f>IF(ISERROR(ROUND(POWER(1+E7,A7-C7)*(POWER(1+E7,C7)-1)/(POWER(1+E7,A7)-1),3)),0,ROUND(POWER(1+E7,A7-C7)*(POWER(1+E7,C7)-1)/(POWER(1+E7,A7)-1),4))</f>
        <v>0.78339999999999999</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26" t="str">
        <f>IF(B10="北京市","北京市",C10)&amp;F10&amp;IF(结果表!G1="在建","出让国有建设用地使用权及在建建筑物",IF(结果表!G1="土地","出让国有建设用地使用权",))&amp;B9&amp;"预评估"</f>
        <v>北京市朝阳区朝阳门外大街18号房地产抵押价值预评估</v>
      </c>
      <c r="C1" s="3527"/>
      <c r="D1" s="3527"/>
      <c r="E1" s="3527"/>
      <c r="F1" s="3527"/>
      <c r="G1" s="3527"/>
      <c r="H1" s="3527"/>
      <c r="I1" s="3528"/>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2164</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2165</v>
      </c>
      <c r="B3" s="2371">
        <v>45037</v>
      </c>
      <c r="C3" s="2372" t="s">
        <v>2166</v>
      </c>
      <c r="D3" s="2371">
        <f>B3</f>
        <v>45037</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t="s">
        <v>3439</v>
      </c>
      <c r="C4" s="2374">
        <f ca="1">SUMIF(注册房地产估价师,B4,估价师及机构信息!B3:B24)</f>
        <v>1120070131</v>
      </c>
      <c r="D4" s="2373" t="s">
        <v>3440</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2168</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2169</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2170</v>
      </c>
      <c r="B7" s="3472" t="s">
        <v>3495</v>
      </c>
      <c r="C7" s="2381"/>
      <c r="D7" s="2382"/>
      <c r="E7" s="2656"/>
      <c r="F7" s="2658"/>
      <c r="G7" s="2658"/>
      <c r="H7" s="2658"/>
      <c r="I7" s="2658"/>
      <c r="J7" s="2433"/>
      <c r="K7" s="2610"/>
      <c r="L7" s="2607"/>
      <c r="M7" s="2607"/>
      <c r="N7" s="2433"/>
      <c r="O7" s="2444"/>
      <c r="P7" s="2433"/>
      <c r="Q7" s="2433"/>
      <c r="R7" s="2433"/>
    </row>
    <row r="8" spans="1:30">
      <c r="A8" s="2383" t="s">
        <v>2171</v>
      </c>
      <c r="B8" s="2384" t="s">
        <v>3366</v>
      </c>
      <c r="C8" s="2385"/>
      <c r="D8" s="3529" t="s">
        <v>2172</v>
      </c>
      <c r="E8" s="2386" t="s">
        <v>3367</v>
      </c>
      <c r="F8" s="2387"/>
      <c r="G8" s="2657"/>
      <c r="H8" s="2657"/>
      <c r="I8" s="2657"/>
      <c r="J8" s="2433"/>
      <c r="K8" s="2608"/>
      <c r="L8" s="2607"/>
      <c r="M8" s="2607"/>
      <c r="N8" s="2433"/>
      <c r="O8" s="2444"/>
      <c r="P8" s="2433"/>
      <c r="Q8" s="2433"/>
      <c r="R8" s="2433"/>
    </row>
    <row r="9" spans="1:30" ht="13.5" thickBot="1">
      <c r="A9" s="2388" t="s">
        <v>2173</v>
      </c>
      <c r="B9" s="2389" t="s">
        <v>3367</v>
      </c>
      <c r="C9" s="2390"/>
      <c r="D9" s="3530"/>
      <c r="E9" s="2389" t="s">
        <v>587</v>
      </c>
      <c r="F9" s="2391"/>
      <c r="G9" s="2659"/>
      <c r="H9" s="2659"/>
      <c r="I9" s="2659"/>
      <c r="J9" s="2433"/>
      <c r="K9" s="2610"/>
      <c r="L9" s="2607"/>
      <c r="M9" s="2607"/>
      <c r="N9" s="2433"/>
      <c r="O9" s="2444"/>
      <c r="P9" s="2433"/>
      <c r="Q9" s="2433"/>
      <c r="R9" s="2433"/>
    </row>
    <row r="10" spans="1:30" ht="13.5" thickTop="1">
      <c r="A10" s="2392" t="s">
        <v>2174</v>
      </c>
      <c r="B10" s="2393" t="s">
        <v>3368</v>
      </c>
      <c r="C10" s="2394"/>
      <c r="D10" s="2379"/>
      <c r="E10" s="2395" t="s">
        <v>2175</v>
      </c>
      <c r="F10" s="3451" t="s">
        <v>3437</v>
      </c>
      <c r="G10" s="2660"/>
      <c r="H10" s="2661"/>
      <c r="I10" s="2662"/>
      <c r="J10" s="2433"/>
      <c r="K10" s="2610"/>
      <c r="L10" s="2607"/>
      <c r="M10" s="2607"/>
      <c r="N10" s="2433"/>
      <c r="O10" s="2444"/>
      <c r="P10" s="2433"/>
      <c r="Q10" s="2433"/>
      <c r="R10" s="2433"/>
    </row>
    <row r="11" spans="1:30">
      <c r="A11" s="2396" t="s">
        <v>2176</v>
      </c>
      <c r="B11" s="2397" t="s">
        <v>3438</v>
      </c>
      <c r="C11" s="3452" t="str">
        <f>B7</f>
        <v>银鼎投资（北京）有限公司</v>
      </c>
      <c r="D11" s="2398"/>
      <c r="E11" s="2368"/>
      <c r="F11" s="2368"/>
      <c r="G11" s="2368"/>
      <c r="H11" s="2368"/>
      <c r="I11" s="2368"/>
      <c r="J11" s="3054"/>
      <c r="K11" s="3053"/>
      <c r="L11" s="2607"/>
      <c r="M11" s="2607"/>
      <c r="N11" s="2433"/>
      <c r="O11" s="2444"/>
      <c r="P11" s="2433"/>
      <c r="Q11" s="2433"/>
      <c r="R11" s="2433"/>
    </row>
    <row r="12" spans="1:30">
      <c r="A12" s="2399" t="s">
        <v>2177</v>
      </c>
      <c r="B12" s="323" t="s">
        <v>2178</v>
      </c>
      <c r="C12" s="2400" t="s">
        <v>2179</v>
      </c>
      <c r="D12" s="2400" t="s">
        <v>2180</v>
      </c>
      <c r="E12" s="2400" t="s">
        <v>2181</v>
      </c>
      <c r="F12" s="2400" t="s">
        <v>2182</v>
      </c>
      <c r="G12" s="2400" t="s">
        <v>2183</v>
      </c>
      <c r="H12" s="2400" t="s">
        <v>2184</v>
      </c>
      <c r="I12" s="3052" t="s">
        <v>2570</v>
      </c>
      <c r="J12" s="3055"/>
      <c r="K12" s="2607"/>
      <c r="L12" s="2607"/>
      <c r="M12" s="2433"/>
      <c r="N12" s="2444"/>
      <c r="O12" s="2433"/>
      <c r="P12" s="2433"/>
      <c r="Q12" s="2433"/>
      <c r="AD12" s="1743"/>
    </row>
    <row r="13" spans="1:30">
      <c r="A13" s="3418" t="s">
        <v>3332</v>
      </c>
      <c r="B13" s="2401" t="s">
        <v>2185</v>
      </c>
      <c r="C13" s="854"/>
      <c r="D13" s="854"/>
      <c r="E13" s="3450">
        <v>52629</v>
      </c>
      <c r="F13" s="854"/>
      <c r="G13" s="854"/>
      <c r="H13" s="854"/>
      <c r="I13" s="854"/>
      <c r="J13" s="3055"/>
      <c r="K13" s="2607" t="s">
        <v>3436</v>
      </c>
      <c r="L13" s="2607"/>
      <c r="M13" s="2433"/>
      <c r="N13" s="2444"/>
      <c r="O13" s="2433"/>
      <c r="P13" s="2433"/>
      <c r="Q13" s="2433"/>
      <c r="AD13" s="1743"/>
    </row>
    <row r="14" spans="1:30">
      <c r="A14" s="1079"/>
      <c r="B14" s="2401" t="s">
        <v>2186</v>
      </c>
      <c r="C14" s="2402"/>
      <c r="D14" s="2402"/>
      <c r="E14" s="2402">
        <v>50</v>
      </c>
      <c r="F14" s="2402"/>
      <c r="G14" s="2402"/>
      <c r="H14" s="2402"/>
      <c r="I14" s="2402"/>
      <c r="J14" s="3056"/>
      <c r="K14" s="2607"/>
      <c r="L14" s="2607"/>
      <c r="M14" s="2433"/>
      <c r="N14" s="2444"/>
      <c r="O14" s="2433"/>
      <c r="P14" s="2433"/>
      <c r="Q14" s="2433"/>
      <c r="AD14" s="1743"/>
    </row>
    <row r="15" spans="1:30">
      <c r="A15" s="320"/>
      <c r="B15" s="2403" t="s">
        <v>2187</v>
      </c>
      <c r="C15" s="2404" t="str">
        <f>IF(A13="出让",IF(C13="","",ROUNDDOWN(MIN((C13-$D$3)/365,C14),2)),C14)</f>
        <v/>
      </c>
      <c r="D15" s="2404" t="str">
        <f>IF(A13="出让",IF(D13="","",ROUNDDOWN(MIN((D13-$D$3)/365,D14),2)),D14)</f>
        <v/>
      </c>
      <c r="E15" s="2404">
        <f>IF(A13="出让",IF(E13="","",ROUNDDOWN(MIN((E13-$D$3)/365,E14),2)),E14)</f>
        <v>20.8</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2188</v>
      </c>
      <c r="B16" s="3536"/>
      <c r="C16" s="3537"/>
      <c r="D16" s="3538"/>
      <c r="E16" s="2407" t="s">
        <v>2189</v>
      </c>
      <c r="F16" s="3539"/>
      <c r="G16" s="3540"/>
      <c r="H16" s="3540"/>
      <c r="I16" s="3541"/>
      <c r="J16" s="2433"/>
      <c r="K16" s="2611"/>
      <c r="L16" s="2445"/>
      <c r="M16" s="2445"/>
      <c r="N16" s="2503"/>
      <c r="O16" s="2445"/>
      <c r="P16" s="2503"/>
      <c r="Q16" s="2433"/>
      <c r="R16" s="2433"/>
    </row>
    <row r="17" spans="1:28">
      <c r="A17" s="313" t="s">
        <v>2190</v>
      </c>
      <c r="B17" s="302" t="s">
        <v>2191</v>
      </c>
      <c r="C17" s="8">
        <f>'数据-汇总表'!E3</f>
        <v>3455.7</v>
      </c>
      <c r="D17" s="2320" t="s">
        <v>2192</v>
      </c>
      <c r="E17" s="3542" t="s">
        <v>2193</v>
      </c>
      <c r="F17" s="3543"/>
      <c r="G17" s="3543"/>
      <c r="H17" s="3543"/>
      <c r="I17" s="3544"/>
      <c r="J17" s="2433"/>
      <c r="K17" s="2612"/>
      <c r="L17" s="2445"/>
      <c r="M17" s="2445"/>
      <c r="N17" s="2503"/>
      <c r="O17" s="2445"/>
      <c r="P17" s="2503"/>
      <c r="Q17" s="2433"/>
      <c r="R17" s="2433"/>
      <c r="S17" s="2433"/>
      <c r="T17" s="2433"/>
      <c r="U17" s="2433"/>
      <c r="V17" s="2433"/>
    </row>
    <row r="18" spans="1:28" ht="24.75" thickBot="1">
      <c r="A18" s="2408" t="s">
        <v>2194</v>
      </c>
      <c r="B18" s="1088" t="s">
        <v>2195</v>
      </c>
      <c r="C18" s="2409">
        <f>'数据-汇总表'!D3</f>
        <v>396.01</v>
      </c>
      <c r="D18" s="1090" t="s">
        <v>2196</v>
      </c>
      <c r="E18" s="3545" t="s">
        <v>2197</v>
      </c>
      <c r="F18" s="3546"/>
      <c r="G18" s="3546"/>
      <c r="H18" s="3546"/>
      <c r="I18" s="3547"/>
      <c r="J18" s="2433"/>
      <c r="K18" s="2612"/>
      <c r="L18" s="2445"/>
      <c r="M18" s="2445"/>
      <c r="N18" s="2503"/>
      <c r="O18" s="2445"/>
      <c r="P18" s="2503"/>
      <c r="Q18" s="2433"/>
      <c r="R18" s="2433"/>
      <c r="S18" s="2433"/>
      <c r="T18" s="2433"/>
      <c r="U18" s="2433"/>
      <c r="V18" s="2433"/>
    </row>
    <row r="19" spans="1:28" ht="39.75" thickTop="1" thickBot="1">
      <c r="A19" s="327" t="s">
        <v>1055</v>
      </c>
      <c r="B19" s="307" t="s">
        <v>2198</v>
      </c>
      <c r="C19" s="1561" t="s">
        <v>3379</v>
      </c>
      <c r="D19" s="1562" t="s">
        <v>2199</v>
      </c>
      <c r="E19" s="1563" t="s">
        <v>3369</v>
      </c>
      <c r="F19" s="1564" t="str">
        <f>IF(AND(C19="是",E19="否"),"是否提供他项权证或相关说明","")</f>
        <v>是否提供他项权证或相关说明</v>
      </c>
      <c r="G19" s="1565" t="s">
        <v>3369</v>
      </c>
      <c r="H19" s="2658"/>
      <c r="I19" s="2658"/>
      <c r="J19" s="2433"/>
      <c r="K19" s="2610"/>
      <c r="L19" s="2607"/>
      <c r="M19" s="2607"/>
      <c r="N19" s="2503"/>
      <c r="O19" s="2445"/>
      <c r="P19" s="2503"/>
      <c r="Q19" s="2433"/>
      <c r="R19" s="2433"/>
      <c r="S19" s="2433"/>
      <c r="T19" s="2433"/>
      <c r="U19" s="2433"/>
      <c r="V19" s="2433"/>
    </row>
    <row r="20" spans="1:28">
      <c r="A20" s="2626" t="s">
        <v>2200</v>
      </c>
      <c r="B20" s="3532" t="s">
        <v>2201</v>
      </c>
      <c r="C20" s="3533"/>
      <c r="D20" s="3534" t="s">
        <v>2202</v>
      </c>
      <c r="E20" s="3535"/>
      <c r="F20" s="2641" t="s">
        <v>1056</v>
      </c>
      <c r="G20" s="2658"/>
      <c r="H20" s="2658"/>
      <c r="I20" s="2658"/>
      <c r="J20" s="2433"/>
      <c r="K20" s="3531" t="s">
        <v>2203</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2204</v>
      </c>
      <c r="C21" s="2628" t="s">
        <v>3441</v>
      </c>
      <c r="D21" s="1566" t="s">
        <v>2205</v>
      </c>
      <c r="E21" s="2629" t="s">
        <v>43</v>
      </c>
      <c r="F21" s="2642"/>
      <c r="G21" s="2658"/>
      <c r="H21" s="2658"/>
      <c r="I21" s="2658"/>
      <c r="J21" s="2433"/>
      <c r="K21" s="353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2206</v>
      </c>
      <c r="C22" s="2628" t="s">
        <v>3441</v>
      </c>
      <c r="D22" s="2657"/>
      <c r="E22" s="2657"/>
      <c r="F22" s="2657"/>
      <c r="G22" s="2658"/>
      <c r="H22" s="2658"/>
      <c r="I22" s="2658"/>
      <c r="J22" s="2433"/>
      <c r="K22" s="353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2207</v>
      </c>
      <c r="B23" s="2496" t="s">
        <v>2208</v>
      </c>
      <c r="C23" s="2632"/>
      <c r="D23" s="2633" t="s">
        <v>2208</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19" t="s">
        <v>2209</v>
      </c>
      <c r="B27" s="320" t="s">
        <v>2210</v>
      </c>
      <c r="C27" s="2410" t="s">
        <v>3377</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9"/>
      <c r="B28" s="302" t="s">
        <v>2211</v>
      </c>
      <c r="C28" s="2412"/>
      <c r="D28" s="2413" t="s">
        <v>3378</v>
      </c>
      <c r="E28" s="2658"/>
      <c r="F28" s="2658"/>
      <c r="G28" s="2658"/>
      <c r="H28" s="2658"/>
      <c r="I28" s="2658"/>
      <c r="J28" s="2433"/>
      <c r="K28" s="2610"/>
      <c r="L28" s="2607"/>
      <c r="M28" s="2607"/>
      <c r="N28" s="2433"/>
      <c r="O28" s="2444"/>
      <c r="P28" s="2433"/>
      <c r="Q28" s="2433"/>
      <c r="R28" s="2433"/>
      <c r="S28" s="2433"/>
      <c r="T28" s="2433"/>
      <c r="U28" s="2433"/>
      <c r="V28" s="2433"/>
    </row>
    <row r="29" spans="1:28">
      <c r="A29" s="3519"/>
      <c r="B29" s="302" t="s">
        <v>2212</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20"/>
      <c r="B30" s="302" t="s">
        <v>2213</v>
      </c>
      <c r="C30" s="3521"/>
      <c r="D30" s="3522"/>
      <c r="E30" s="2658"/>
      <c r="F30" s="2658"/>
      <c r="G30" s="2658"/>
      <c r="H30" s="2658"/>
      <c r="I30" s="2658"/>
      <c r="J30" s="2433"/>
      <c r="K30" s="2610"/>
      <c r="L30" s="2607"/>
      <c r="M30" s="2607"/>
      <c r="N30" s="2433"/>
      <c r="O30" s="2444"/>
      <c r="P30" s="2433"/>
      <c r="Q30" s="2433"/>
      <c r="R30" s="2433"/>
      <c r="S30" s="2433"/>
      <c r="T30" s="2433"/>
      <c r="U30" s="2433"/>
      <c r="V30" s="2433"/>
    </row>
    <row r="31" spans="1:28">
      <c r="A31" s="3523" t="s">
        <v>2214</v>
      </c>
      <c r="B31" s="2416" t="s">
        <v>3376</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24"/>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24"/>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2215</v>
      </c>
      <c r="B34" s="2024" t="s">
        <v>3370</v>
      </c>
      <c r="C34" s="2024" t="s">
        <v>3371</v>
      </c>
      <c r="D34" s="2024" t="s">
        <v>3372</v>
      </c>
      <c r="E34" s="2024" t="s">
        <v>3373</v>
      </c>
      <c r="F34" s="2024" t="s">
        <v>3374</v>
      </c>
      <c r="G34" s="2024" t="s">
        <v>3375</v>
      </c>
      <c r="H34" s="2024"/>
      <c r="I34" s="2658"/>
      <c r="J34" s="2433"/>
      <c r="K34" s="2421">
        <f>COUNTIF(B34:H34,"——")</f>
        <v>0</v>
      </c>
      <c r="L34" s="323" t="s">
        <v>2216</v>
      </c>
      <c r="M34" s="323" t="s">
        <v>2217</v>
      </c>
      <c r="N34" s="323" t="s">
        <v>2218</v>
      </c>
      <c r="O34" s="323" t="s">
        <v>2219</v>
      </c>
      <c r="P34" s="323" t="s">
        <v>2220</v>
      </c>
      <c r="Q34" s="323" t="s">
        <v>2221</v>
      </c>
      <c r="R34" s="323" t="s">
        <v>2222</v>
      </c>
      <c r="S34" s="3518" t="s">
        <v>2223</v>
      </c>
      <c r="T34" s="2422" t="str">
        <f>NUMBERSTRING(7-K34,1)&amp;"通"</f>
        <v>七通</v>
      </c>
      <c r="U34" s="2433"/>
      <c r="V34" s="2433"/>
    </row>
    <row r="35" spans="1:30">
      <c r="A35" s="2423"/>
      <c r="B35" s="3525" t="s">
        <v>2224</v>
      </c>
      <c r="C35" s="3525"/>
      <c r="D35" s="3525"/>
      <c r="E35" s="3525"/>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3"/>
      <c r="V35" s="2433"/>
    </row>
    <row r="36" spans="1:30">
      <c r="A36" s="2424"/>
      <c r="B36" s="662" t="s">
        <v>2180</v>
      </c>
      <c r="C36" s="662" t="s">
        <v>2181</v>
      </c>
      <c r="D36" s="662" t="s">
        <v>2179</v>
      </c>
      <c r="E36" s="662" t="s">
        <v>2184</v>
      </c>
      <c r="F36" s="3058" t="s">
        <v>2573</v>
      </c>
      <c r="G36" s="2658"/>
      <c r="H36" s="2658"/>
      <c r="I36" s="2658"/>
      <c r="J36" s="2433"/>
      <c r="K36" s="2610"/>
      <c r="L36" s="2607"/>
      <c r="M36" s="2607"/>
      <c r="N36" s="2433"/>
      <c r="O36" s="2444"/>
      <c r="P36" s="2433"/>
      <c r="Q36" s="2433"/>
      <c r="R36" s="2433"/>
      <c r="S36" s="2433"/>
      <c r="T36" s="2433"/>
      <c r="U36" s="2433"/>
      <c r="V36" s="2433"/>
    </row>
    <row r="37" spans="1:30">
      <c r="A37" s="2624" t="s">
        <v>2225</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2226</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2228</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ROUND(I13/B13*B14,2)</f>
        <v>396.01</v>
      </c>
      <c r="B3" s="11">
        <f>IF(C3="否",G5-AT5,G5)</f>
        <v>3455.7</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3380</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3381</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28.5">
      <c r="A13" s="31" t="s">
        <v>3496</v>
      </c>
      <c r="B13" s="31">
        <v>93222.79</v>
      </c>
      <c r="C13" s="1049"/>
      <c r="D13" s="1623" t="s">
        <v>3379</v>
      </c>
      <c r="E13" s="13">
        <f>IF($C$3="是",ROUND($A$3*G13/$B$3,2),ROUND($A$3*(G13-AT13)/$B$3,2))</f>
        <v>396.01</v>
      </c>
      <c r="F13" s="29"/>
      <c r="G13" s="30">
        <f>H13+AC13+AT13</f>
        <v>3455.7</v>
      </c>
      <c r="H13" s="17">
        <f>SUMIF(I$12:AB$12,"总值",I13:AB13)</f>
        <v>3455.7</v>
      </c>
      <c r="I13" s="1624">
        <v>3455.7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t="str">
        <f t="shared" ref="AV13:AX17" si="6">A13</f>
        <v>总建筑面积</v>
      </c>
      <c r="AW13" s="8">
        <f t="shared" si="6"/>
        <v>93222.79</v>
      </c>
      <c r="AX13" s="8">
        <f t="shared" si="6"/>
        <v>0</v>
      </c>
      <c r="AY13" s="1347">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28.5">
      <c r="A14" s="31" t="s">
        <v>3497</v>
      </c>
      <c r="B14" s="31">
        <v>10682.89</v>
      </c>
      <c r="C14" s="1049"/>
      <c r="D14" s="1623" t="s">
        <v>3369</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t="str">
        <f t="shared" si="6"/>
        <v>总土地面积</v>
      </c>
      <c r="AW14" s="8">
        <f t="shared" si="6"/>
        <v>10682.89</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c r="A15" s="31"/>
      <c r="B15" s="31"/>
      <c r="C15" s="1049"/>
      <c r="D15" s="1623" t="s">
        <v>3369</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c r="A16" s="31"/>
      <c r="B16" s="3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F41" sqref="F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7" t="s">
        <v>1129</v>
      </c>
      <c r="B2" s="3557"/>
      <c r="C2" s="3557"/>
      <c r="D2" s="794" t="s">
        <v>1105</v>
      </c>
      <c r="E2" s="1637" t="s">
        <v>1106</v>
      </c>
      <c r="F2" s="2653"/>
      <c r="G2" s="2644"/>
      <c r="H2" s="2645"/>
      <c r="I2" s="2323" t="s">
        <v>1130</v>
      </c>
      <c r="J2" s="2653"/>
      <c r="K2" s="2653"/>
      <c r="L2" s="2653"/>
      <c r="M2" s="2653"/>
      <c r="N2" s="2655"/>
      <c r="O2" s="2653"/>
      <c r="P2" s="2653"/>
    </row>
    <row r="3" spans="1:16" ht="15.75" thickBot="1">
      <c r="A3" s="3558" t="s">
        <v>1103</v>
      </c>
      <c r="B3" s="3558"/>
      <c r="C3" s="3558"/>
      <c r="D3" s="43">
        <f>'数据-基础表'!AY6</f>
        <v>396.01</v>
      </c>
      <c r="E3" s="43">
        <f>'数据-基础表'!AZ5</f>
        <v>3455.7</v>
      </c>
      <c r="F3" s="2653"/>
      <c r="G3" s="1143"/>
      <c r="H3" s="1024" t="s">
        <v>1104</v>
      </c>
      <c r="I3" s="853">
        <f>ROUND('数据-基础表'!B3/'数据-基础表'!A3,2)</f>
        <v>8.73</v>
      </c>
      <c r="J3" s="2653"/>
      <c r="K3" s="2653"/>
      <c r="L3" s="2653"/>
      <c r="M3" s="2653"/>
      <c r="N3" s="2655"/>
      <c r="O3" s="2653"/>
      <c r="P3" s="2653"/>
    </row>
    <row r="4" spans="1:16" ht="15">
      <c r="A4" s="3559"/>
      <c r="B4" s="3560"/>
      <c r="C4" s="3561"/>
      <c r="D4" s="1639" t="s">
        <v>1105</v>
      </c>
      <c r="E4" s="1640" t="s">
        <v>1106</v>
      </c>
      <c r="F4" s="2653"/>
      <c r="G4" s="2646" t="s">
        <v>1131</v>
      </c>
      <c r="H4" s="1024" t="s">
        <v>1111</v>
      </c>
      <c r="I4" s="853">
        <f>ROUND(SUMIF('数据-基础表'!I9:AS9,"地上",'数据-基础表'!I5:AS5)/'数据-基础表'!A3,2)</f>
        <v>8.73</v>
      </c>
      <c r="J4" s="2653"/>
      <c r="K4" s="2653"/>
      <c r="L4" s="2653"/>
      <c r="M4" s="2653"/>
      <c r="N4" s="2655"/>
      <c r="O4" s="2653"/>
      <c r="P4" s="2653"/>
    </row>
    <row r="5" spans="1:16">
      <c r="A5" s="44" t="s">
        <v>1107</v>
      </c>
      <c r="B5" s="3562" t="s">
        <v>1108</v>
      </c>
      <c r="C5" s="3562"/>
      <c r="D5" s="45">
        <f>ROUND($D$3*E5/$E$3,2)</f>
        <v>0</v>
      </c>
      <c r="E5" s="46">
        <f>SUMIF('数据-基础表'!$11:$11,"住宅",'数据-基础表'!$5:$5)</f>
        <v>0</v>
      </c>
      <c r="F5" s="2653"/>
      <c r="G5" s="1143"/>
      <c r="H5" s="1024" t="s">
        <v>1104</v>
      </c>
      <c r="I5" s="853">
        <f>ROUND(E31/D31,2)</f>
        <v>8.73</v>
      </c>
      <c r="J5" s="2653"/>
      <c r="K5" s="2653"/>
      <c r="L5" s="2653"/>
      <c r="M5" s="2653"/>
      <c r="N5" s="2653"/>
      <c r="O5" s="2653"/>
      <c r="P5" s="2653"/>
    </row>
    <row r="6" spans="1:16" ht="15" thickBot="1">
      <c r="A6" s="1642"/>
      <c r="B6" s="3562" t="s">
        <v>1109</v>
      </c>
      <c r="C6" s="3562"/>
      <c r="D6" s="45">
        <f>ROUND($D$3*E6/$E$3,2)</f>
        <v>396.01</v>
      </c>
      <c r="E6" s="46">
        <f>E3-E5</f>
        <v>3455.7</v>
      </c>
      <c r="F6" s="2653"/>
      <c r="G6" s="2647" t="s">
        <v>1110</v>
      </c>
      <c r="H6" s="1144" t="s">
        <v>1111</v>
      </c>
      <c r="I6" s="2648">
        <f>ROUND(F31/D31,2)</f>
        <v>8.73</v>
      </c>
      <c r="J6" s="2653"/>
      <c r="K6" s="2653"/>
      <c r="L6" s="2653"/>
      <c r="M6" s="2653"/>
      <c r="N6" s="2653"/>
      <c r="O6" s="2653"/>
      <c r="P6" s="2653"/>
    </row>
    <row r="7" spans="1:16" ht="15.75" thickBot="1">
      <c r="A7" s="3554"/>
      <c r="B7" s="3555"/>
      <c r="C7" s="3556"/>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396.01</v>
      </c>
      <c r="E8" s="48">
        <f>SUMIF('数据-基础表'!BB10:BK10,"地上",'数据-基础表'!BB5:BK5)</f>
        <v>3455.7</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396.01</v>
      </c>
      <c r="E16" s="50">
        <f>SUM(E8:E15)</f>
        <v>3455.7</v>
      </c>
      <c r="F16" s="2653"/>
      <c r="G16" s="2654"/>
      <c r="H16" s="1646" t="s">
        <v>1133</v>
      </c>
      <c r="I16" s="1647"/>
      <c r="J16" s="1137"/>
      <c r="K16" s="3551" t="s">
        <v>1133</v>
      </c>
      <c r="L16" s="3552"/>
      <c r="M16" s="3552"/>
      <c r="N16" s="3552"/>
      <c r="O16" s="3552"/>
      <c r="P16" s="3553"/>
    </row>
    <row r="17" spans="1:19" ht="15">
      <c r="A17" s="1648" t="s">
        <v>1134</v>
      </c>
      <c r="B17" s="1649" t="s">
        <v>1135</v>
      </c>
      <c r="C17" s="1650" t="s">
        <v>1136</v>
      </c>
      <c r="D17" s="1651" t="s">
        <v>1124</v>
      </c>
      <c r="E17" s="1652" t="s">
        <v>1125</v>
      </c>
      <c r="F17" s="1653"/>
      <c r="G17" s="1654"/>
      <c r="H17" s="1655" t="s">
        <v>1137</v>
      </c>
      <c r="I17" s="1656" t="s">
        <v>1122</v>
      </c>
      <c r="J17" s="1137"/>
      <c r="K17" s="3548" t="s">
        <v>1138</v>
      </c>
      <c r="L17" s="3549"/>
      <c r="M17" s="3550"/>
      <c r="N17" s="3548" t="s">
        <v>1139</v>
      </c>
      <c r="O17" s="3549"/>
      <c r="P17" s="3550"/>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3382</v>
      </c>
      <c r="D19" s="45">
        <f>ROUND($D$3*E19/$E$3,2)</f>
        <v>396.01</v>
      </c>
      <c r="E19" s="53">
        <f t="shared" ref="E19:E26" si="1">SUM(F19:G19)</f>
        <v>3455.7</v>
      </c>
      <c r="F19" s="2788">
        <f>'数据-基础表'!I13</f>
        <v>3455.7</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396.01</v>
      </c>
      <c r="S19" s="1025">
        <f t="shared" si="5"/>
        <v>3455.7</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396.01</v>
      </c>
      <c r="E27" s="1139">
        <f>IF(SUM(E19:E26)='数据-基础表'!BA5,SUM(E19:E26),IF(F27="地上面积有误","面积有误","地下面积有误"))</f>
        <v>3455.7</v>
      </c>
      <c r="F27" s="1138">
        <f>IF(SUM(F19:F26)=E8,SUM(F19:F26),"地上面积有误")</f>
        <v>3455.7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396.01</v>
      </c>
      <c r="S27" s="1024">
        <f>IF(SUM(S19:S26)=$E$3,SUM(S19:S26),SUM(S19:S26)&amp;"误差"&amp;ROUND(SUM(S19:S26)-E3,2))</f>
        <v>3455.7</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396.01</v>
      </c>
      <c r="E31" s="674">
        <f>E27+E30</f>
        <v>3455.7</v>
      </c>
      <c r="F31" s="675">
        <f>F27+F30</f>
        <v>3455.7</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45037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3383</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20.8</v>
      </c>
      <c r="G6" s="65">
        <f>IF(ISERROR(ROUND(POWER(1+H6,D6-F6)*(POWER(1+H6,F6)-1)/(POWER(1+H6,D6)-1),3)),0,ROUND(POWER(1+H6,D6-F6)*(POWER(1+H6,F6)-1)/(POWER(1+H6,D6)-1),3))</f>
        <v>0.69799999999999995</v>
      </c>
      <c r="H6" s="730">
        <v>0.05</v>
      </c>
      <c r="I6" s="730">
        <v>5.5E-2</v>
      </c>
      <c r="J6" s="66">
        <v>0.08</v>
      </c>
      <c r="K6" s="1028">
        <f>SUMIF('数据-汇总表'!C$19:C$33,A6,'数据-汇总表'!E$19:E$33)</f>
        <v>3455.7</v>
      </c>
      <c r="L6" s="731">
        <v>3500</v>
      </c>
      <c r="M6" s="67">
        <f t="shared" ref="M6:M14" si="0">ROUND(K6*L6/10000,0)</f>
        <v>1209</v>
      </c>
      <c r="N6" s="729">
        <f>O21</f>
        <v>0.7</v>
      </c>
      <c r="O6" s="67" t="str">
        <f>IF($N$5="成新度","——",ROUND(M6*N6,0))</f>
        <v>——</v>
      </c>
      <c r="P6" s="68" t="str">
        <f>IF($N$5="成新度","——",M6-O6)</f>
        <v>——</v>
      </c>
      <c r="Q6" s="732">
        <v>0.15</v>
      </c>
      <c r="R6" s="69">
        <f ca="1">SUMIF('数据-汇总表'!C$19:C$33,A6,'数据-汇总表'!R$19:R$27)</f>
        <v>396.01</v>
      </c>
      <c r="S6" s="51">
        <f>IF('数据-汇总表'!$I$17="按面积比例",SUMIF('数据-汇总表'!C$19:C$33,A6,'数据-汇总表'!K$19:K$33),SUMIF('数据-汇总表'!C$19:C$33,A6,'数据-汇总表'!N$19:N$33))</f>
        <v>0</v>
      </c>
      <c r="T6" s="1170">
        <f>ROUND($L$14*S6/10000,0)</f>
        <v>0</v>
      </c>
      <c r="U6" s="3423">
        <v>6.8</v>
      </c>
      <c r="V6" s="70">
        <v>0.03</v>
      </c>
      <c r="W6" s="70">
        <v>0.1</v>
      </c>
      <c r="X6" s="1038"/>
      <c r="Y6" s="71">
        <f>N6</f>
        <v>0.7</v>
      </c>
      <c r="Z6" s="72"/>
      <c r="AA6" s="66"/>
      <c r="AB6" s="66"/>
      <c r="AC6" s="1038"/>
      <c r="AD6" s="73"/>
      <c r="AE6" s="1039">
        <f ca="1">IF(AN6="",0,SUMIF(INDIRECT("'"&amp;AN6&amp;"'"&amp;"!E:E"),$AE$5,INDIRECT("'"&amp;AN6&amp;"'"&amp;"!F:F")))</f>
        <v>20.8</v>
      </c>
      <c r="AF6" s="1346"/>
      <c r="AG6" s="138">
        <f>IF(AF6="",0,AE6-AF6)</f>
        <v>0</v>
      </c>
      <c r="AH6" s="74"/>
      <c r="AI6" s="76">
        <v>365</v>
      </c>
      <c r="AJ6" s="77"/>
      <c r="AK6" s="78">
        <v>0.01</v>
      </c>
      <c r="AL6" s="79">
        <v>1.5E-3</v>
      </c>
      <c r="AM6" s="80">
        <v>0.01</v>
      </c>
      <c r="AN6" s="1713" t="s">
        <v>3388</v>
      </c>
      <c r="AO6" s="52">
        <f ca="1">SUMIF(INDIRECT("'"&amp;AN6&amp;"'"&amp;"!A:A"),"总价",INDIRECT("'"&amp;AN6&amp;"'"&amp;"!B:B"))</f>
        <v>9849.5195000000003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0.69799999999999995</v>
      </c>
      <c r="H16" s="90">
        <f>ROUND(SUMPRODUCT(H6:H13,K6:K13)/SUMPRODUCT((H6:H13&gt;0)*(K6:K13)),3)</f>
        <v>0.05</v>
      </c>
      <c r="I16" s="91"/>
      <c r="J16" s="91"/>
      <c r="K16" s="92">
        <f>SUM(K6:K15)</f>
        <v>3455.7</v>
      </c>
      <c r="L16" s="93">
        <f>ROUND(M16*10000/SUM(K6:K14),0)</f>
        <v>3499</v>
      </c>
      <c r="M16" s="93">
        <f>SUM(M6:M14)</f>
        <v>1209</v>
      </c>
      <c r="N16" s="94">
        <f>ROUND(SUMPRODUCT(M6:M14,N6:N14)/M16,3)</f>
        <v>0.7</v>
      </c>
      <c r="O16" s="93">
        <f>SUM(O6:O14)</f>
        <v>0</v>
      </c>
      <c r="P16" s="93">
        <f>SUM(P6:P14)</f>
        <v>0</v>
      </c>
      <c r="Q16" s="95">
        <f>ROUND(SUMPRODUCT(Q6:Q13,K6:K13)/SUMPRODUCT((Q6:Q13&gt;0)*(K6:K13)),2)</f>
        <v>0.15</v>
      </c>
      <c r="R16" s="1032">
        <f ca="1">SUM(R6:R13)</f>
        <v>396.01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2296</v>
      </c>
      <c r="D19" s="2669"/>
      <c r="E19" s="2666"/>
      <c r="F19" s="2666"/>
      <c r="G19" s="2666"/>
      <c r="H19" s="2666"/>
      <c r="I19" s="2666"/>
      <c r="J19" s="2666"/>
      <c r="K19" s="2665"/>
      <c r="L19" s="2665"/>
      <c r="M19" s="2664"/>
      <c r="N19" s="3441" t="s">
        <v>3384</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2294</v>
      </c>
      <c r="D20" s="2669"/>
      <c r="E20" s="2666"/>
      <c r="F20" s="2666"/>
      <c r="G20" s="2666"/>
      <c r="H20" s="2666"/>
      <c r="I20" s="2666"/>
      <c r="J20" s="2666"/>
      <c r="K20" s="2665"/>
      <c r="L20" s="2665"/>
      <c r="M20" s="2664"/>
      <c r="N20" s="3441" t="s">
        <v>3385</v>
      </c>
      <c r="O20" s="3442">
        <v>0.85</v>
      </c>
      <c r="P20" s="2664"/>
      <c r="Q20" s="2664"/>
      <c r="R20" s="2664"/>
      <c r="S20" s="2664"/>
      <c r="T20" s="2664"/>
      <c r="U20" s="3475">
        <f>188/30</f>
        <v>6.2666666666666666</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3386</v>
      </c>
      <c r="O21" s="3442">
        <f>ROUND((O19+O20)/2,2)</f>
        <v>0.7</v>
      </c>
      <c r="P21" s="2664"/>
      <c r="Q21" s="2664"/>
      <c r="R21" s="2664"/>
      <c r="S21" s="2664"/>
      <c r="T21" s="2664"/>
      <c r="U21" s="3475">
        <f>195/30</f>
        <v>6.5</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2298</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69</v>
      </c>
      <c r="C29" s="2795" t="s">
        <v>2285</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2288</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3387</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3" t="s">
        <v>2277</v>
      </c>
      <c r="B1" s="3564"/>
      <c r="C1" s="3564"/>
      <c r="D1" s="3564"/>
      <c r="E1" s="3564"/>
      <c r="F1" s="3564"/>
      <c r="G1" s="3564"/>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2273</v>
      </c>
      <c r="D2" s="2455"/>
      <c r="E2" s="2452"/>
      <c r="F2" s="2456"/>
      <c r="G2" s="2454" t="s">
        <v>2274</v>
      </c>
      <c r="H2" s="797"/>
      <c r="I2" s="797"/>
      <c r="J2" s="797"/>
      <c r="K2" s="797"/>
      <c r="L2" s="797"/>
      <c r="M2" s="797"/>
      <c r="N2" s="797"/>
      <c r="O2" s="797"/>
      <c r="P2" s="797"/>
      <c r="Q2" s="797"/>
      <c r="R2" s="797"/>
    </row>
    <row r="3" spans="1:29" ht="25.5">
      <c r="A3" s="2435" t="s">
        <v>2275</v>
      </c>
      <c r="B3" s="2457" t="s">
        <v>2247</v>
      </c>
      <c r="C3" s="2458"/>
      <c r="D3" s="2459"/>
      <c r="E3" s="2436" t="s">
        <v>2275</v>
      </c>
      <c r="F3" s="2460" t="s">
        <v>2248</v>
      </c>
      <c r="G3" s="2461" t="s">
        <v>2276</v>
      </c>
      <c r="H3" s="797"/>
      <c r="I3" s="797"/>
      <c r="J3" s="797"/>
      <c r="K3" s="797"/>
      <c r="L3" s="797"/>
      <c r="M3" s="797"/>
      <c r="N3" s="797"/>
      <c r="O3" s="797"/>
      <c r="P3" s="797"/>
      <c r="Q3" s="797"/>
      <c r="R3" s="797"/>
    </row>
    <row r="4" spans="1:29" ht="36">
      <c r="A4" s="2436"/>
      <c r="B4" s="323" t="s">
        <v>2249</v>
      </c>
      <c r="C4" s="2462"/>
      <c r="D4" s="2459"/>
      <c r="E4" s="2463"/>
      <c r="F4" s="1371" t="s">
        <v>2250</v>
      </c>
      <c r="G4" s="2464" t="s">
        <v>2251</v>
      </c>
      <c r="H4" s="797"/>
      <c r="I4" s="797"/>
      <c r="J4" s="797"/>
      <c r="K4" s="797"/>
      <c r="L4" s="797"/>
      <c r="M4" s="797"/>
      <c r="N4" s="797"/>
      <c r="O4" s="797"/>
      <c r="P4" s="797"/>
      <c r="Q4" s="797"/>
      <c r="R4" s="797"/>
    </row>
    <row r="5" spans="1:29" ht="51">
      <c r="A5" s="2436"/>
      <c r="B5" s="323" t="s">
        <v>2252</v>
      </c>
      <c r="C5" s="2462" t="s">
        <v>3442</v>
      </c>
      <c r="D5" s="2459"/>
      <c r="E5" s="2463"/>
      <c r="F5" s="323" t="s">
        <v>2253</v>
      </c>
      <c r="G5" s="2464" t="s">
        <v>2254</v>
      </c>
      <c r="H5" s="797"/>
      <c r="I5" s="797"/>
      <c r="J5" s="797"/>
      <c r="K5" s="797"/>
      <c r="L5" s="797"/>
      <c r="M5" s="797"/>
      <c r="N5" s="797"/>
      <c r="O5" s="797"/>
      <c r="P5" s="797"/>
      <c r="Q5" s="797"/>
      <c r="R5" s="797"/>
    </row>
    <row r="6" spans="1:29" ht="51">
      <c r="A6" s="2436"/>
      <c r="B6" s="323" t="s">
        <v>2255</v>
      </c>
      <c r="C6" s="2464" t="s">
        <v>3443</v>
      </c>
      <c r="D6" s="2459"/>
      <c r="E6" s="2463"/>
      <c r="F6" s="323" t="s">
        <v>2256</v>
      </c>
      <c r="G6" s="2464" t="s">
        <v>2257</v>
      </c>
      <c r="H6" s="797"/>
      <c r="I6" s="797"/>
      <c r="J6" s="797"/>
      <c r="K6" s="797"/>
      <c r="L6" s="797"/>
      <c r="M6" s="797"/>
      <c r="N6" s="797"/>
      <c r="O6" s="797"/>
      <c r="P6" s="797"/>
      <c r="Q6" s="797"/>
      <c r="R6" s="797"/>
    </row>
    <row r="7" spans="1:29" ht="39" thickBot="1">
      <c r="A7" s="2436"/>
      <c r="B7" s="323" t="s">
        <v>2253</v>
      </c>
      <c r="C7" s="2464" t="s">
        <v>3444</v>
      </c>
      <c r="D7" s="2465"/>
      <c r="E7" s="2466"/>
      <c r="F7" s="2467" t="s">
        <v>2258</v>
      </c>
      <c r="G7" s="2468" t="s">
        <v>2259</v>
      </c>
      <c r="H7" s="797"/>
      <c r="I7" s="797"/>
      <c r="J7" s="797"/>
      <c r="K7" s="797"/>
      <c r="L7" s="797"/>
      <c r="M7" s="797"/>
      <c r="N7" s="797"/>
      <c r="O7" s="797"/>
      <c r="P7" s="797"/>
      <c r="Q7" s="797"/>
      <c r="R7" s="797"/>
    </row>
    <row r="8" spans="1:29" ht="25.5">
      <c r="A8" s="2436"/>
      <c r="B8" s="323" t="s">
        <v>2256</v>
      </c>
      <c r="C8" s="2464" t="s">
        <v>3445</v>
      </c>
      <c r="D8" s="2465"/>
      <c r="E8" s="2465"/>
      <c r="F8" s="2469"/>
      <c r="G8" s="2469"/>
      <c r="H8" s="797"/>
      <c r="I8" s="797"/>
      <c r="J8" s="797"/>
      <c r="K8" s="797"/>
      <c r="L8" s="797"/>
      <c r="M8" s="797"/>
      <c r="N8" s="797"/>
      <c r="O8" s="797"/>
      <c r="P8" s="797"/>
      <c r="Q8" s="797"/>
      <c r="R8" s="797"/>
    </row>
    <row r="9" spans="1:29" ht="51">
      <c r="A9" s="2436"/>
      <c r="B9" s="323" t="s">
        <v>2260</v>
      </c>
      <c r="C9" s="2462" t="s">
        <v>3446</v>
      </c>
      <c r="D9" s="2459"/>
      <c r="E9" s="2465"/>
      <c r="F9" s="2469"/>
      <c r="G9" s="2469"/>
      <c r="H9" s="797"/>
      <c r="I9" s="797"/>
      <c r="J9" s="797"/>
      <c r="K9" s="797"/>
      <c r="L9" s="797"/>
      <c r="M9" s="797"/>
      <c r="N9" s="797"/>
      <c r="O9" s="797"/>
      <c r="P9" s="797"/>
      <c r="Q9" s="797"/>
      <c r="R9" s="797"/>
    </row>
    <row r="10" spans="1:29" s="2475" customFormat="1" ht="15" thickBot="1">
      <c r="A10" s="2437"/>
      <c r="B10" s="2470" t="s">
        <v>2261</v>
      </c>
      <c r="C10" s="2471" t="s">
        <v>3447</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2278</v>
      </c>
      <c r="B13" s="2478"/>
      <c r="C13" s="2478"/>
      <c r="D13" s="2476"/>
      <c r="E13" s="2478"/>
      <c r="F13" s="2478"/>
      <c r="G13" s="2478"/>
    </row>
    <row r="14" spans="1:29" ht="15" thickBot="1">
      <c r="A14" s="2488"/>
      <c r="B14" s="2488"/>
      <c r="C14" s="2489" t="s">
        <v>2262</v>
      </c>
      <c r="D14" s="2459"/>
      <c r="E14" s="2490"/>
      <c r="F14" s="2490"/>
      <c r="G14" s="2454" t="s">
        <v>2263</v>
      </c>
    </row>
    <row r="15" spans="1:29" ht="25.5">
      <c r="A15" s="2438" t="s">
        <v>2264</v>
      </c>
      <c r="B15" s="2491" t="s">
        <v>2247</v>
      </c>
      <c r="C15" s="2492">
        <f>C3</f>
        <v>0</v>
      </c>
      <c r="D15" s="2459"/>
      <c r="E15" s="2439" t="s">
        <v>2265</v>
      </c>
      <c r="F15" s="2491" t="s">
        <v>2266</v>
      </c>
      <c r="G15" s="2493" t="str">
        <f>G3</f>
        <v>估价对象位于XX开发区，园区建设成熟度XX，产业集聚程度XX</v>
      </c>
    </row>
    <row r="16" spans="1:29" ht="38.25">
      <c r="A16" s="2440"/>
      <c r="B16" s="2494" t="s">
        <v>2249</v>
      </c>
      <c r="C16" s="2495">
        <f>C4</f>
        <v>0</v>
      </c>
      <c r="D16" s="2459"/>
      <c r="E16" s="2441"/>
      <c r="F16" s="2496" t="s">
        <v>2250</v>
      </c>
      <c r="G16" s="2497" t="str">
        <f>G4</f>
        <v>估价对象周边道路状况、公共交通通达情况、停车便捷程度，综合评价交通便捷度较好</v>
      </c>
    </row>
    <row r="17" spans="1:18" ht="51">
      <c r="A17" s="2440"/>
      <c r="B17" s="2494" t="s">
        <v>2252</v>
      </c>
      <c r="C17" s="2495" t="str">
        <f>C5</f>
        <v>估价对象位于朝阳门商圈，周边办公楼项目较多，有联合大厦、华普国际大厦等写字楼，入驻率高，办公集聚程度较好</v>
      </c>
      <c r="D17" s="2465"/>
      <c r="E17" s="2441"/>
      <c r="F17" s="2496" t="s">
        <v>2267</v>
      </c>
      <c r="G17" s="2498"/>
    </row>
    <row r="18" spans="1:18" ht="51">
      <c r="A18" s="2440"/>
      <c r="B18" s="2496" t="s">
        <v>2255</v>
      </c>
      <c r="C18" s="2497" t="str">
        <f>C6</f>
        <v>周边有75、110、420路及地铁2号、6号线，周边道路密集，停车便捷程度，综合评价交通便捷度好</v>
      </c>
      <c r="D18" s="2465"/>
      <c r="E18" s="2441"/>
      <c r="F18" s="2496" t="s">
        <v>2258</v>
      </c>
      <c r="G18" s="2497" t="str">
        <f>G7</f>
        <v>该园区内是否有污染型企业，绿化情况，卫生条件，整体环境状况判断</v>
      </c>
    </row>
    <row r="19" spans="1:18" ht="25.5">
      <c r="A19" s="2440"/>
      <c r="B19" s="2496" t="s">
        <v>2268</v>
      </c>
      <c r="C19" s="2498"/>
      <c r="D19" s="2459"/>
      <c r="E19" s="2441"/>
      <c r="F19" s="323" t="s">
        <v>2253</v>
      </c>
      <c r="G19" s="2497" t="str">
        <f>G5</f>
        <v>估价对象所在区域公共配套设施齐备情况</v>
      </c>
    </row>
    <row r="20" spans="1:18" ht="51">
      <c r="A20" s="2440"/>
      <c r="B20" s="2496" t="s">
        <v>2269</v>
      </c>
      <c r="C20" s="2495" t="str">
        <f>C9</f>
        <v>区域内有东城职业大学、日坛公园、富国海底世界等自然及人文环境，综合评价自然及人文环境状况较好。</v>
      </c>
      <c r="D20" s="2465"/>
      <c r="E20" s="2441"/>
      <c r="F20" s="323" t="s">
        <v>2256</v>
      </c>
      <c r="G20" s="2497" t="str">
        <f>G6</f>
        <v>估价对象所在区域基础设施水平</v>
      </c>
    </row>
    <row r="21" spans="1:18" ht="38.25">
      <c r="A21" s="2440"/>
      <c r="B21" s="323" t="s">
        <v>2253</v>
      </c>
      <c r="C21" s="2497" t="str">
        <f>C7</f>
        <v>估价对象所在区域银行、购物场所、学校等公共配套设施齐备，综合评价公共配套设施水平好。</v>
      </c>
      <c r="D21" s="2459"/>
      <c r="E21" s="2441"/>
      <c r="F21" s="2496" t="s">
        <v>2270</v>
      </c>
      <c r="G21" s="2499"/>
    </row>
    <row r="22" spans="1:18" ht="13.5" customHeight="1">
      <c r="A22" s="2440"/>
      <c r="B22" s="323" t="s">
        <v>2256</v>
      </c>
      <c r="C22" s="2497" t="str">
        <f>C8</f>
        <v>估价对象所在区域基础设施水平“七通一平</v>
      </c>
      <c r="D22" s="2459"/>
      <c r="E22" s="2441"/>
      <c r="F22" s="2496" t="s">
        <v>2261</v>
      </c>
      <c r="G22" s="2498"/>
    </row>
    <row r="23" spans="1:18" s="797" customFormat="1" ht="15" thickBot="1">
      <c r="A23" s="2440"/>
      <c r="B23" s="2496" t="s">
        <v>2270</v>
      </c>
      <c r="C23" s="2499"/>
      <c r="D23" s="1739"/>
      <c r="E23" s="2442"/>
      <c r="F23" s="2500" t="s">
        <v>2271</v>
      </c>
      <c r="G23" s="2501"/>
      <c r="H23" s="2485"/>
      <c r="I23" s="2486"/>
      <c r="J23" s="2485"/>
      <c r="K23" s="2485"/>
      <c r="L23" s="2486"/>
      <c r="M23" s="2485"/>
      <c r="N23" s="2485"/>
      <c r="O23" s="2486"/>
      <c r="P23" s="2485"/>
      <c r="Q23" s="2485"/>
      <c r="R23" s="2487"/>
    </row>
    <row r="24" spans="1:18" s="797" customFormat="1" ht="15" thickBot="1">
      <c r="A24" s="2443"/>
      <c r="B24" s="2500" t="s">
        <v>2272</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6" sqref="C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3455.7</v>
      </c>
      <c r="C1" s="2679"/>
      <c r="D1" s="2679"/>
      <c r="E1" s="2679"/>
      <c r="F1" s="2679"/>
      <c r="G1" s="2680"/>
      <c r="H1" s="2681"/>
      <c r="I1" s="2681"/>
      <c r="J1" s="2681"/>
      <c r="K1" s="2681"/>
    </row>
    <row r="2" spans="1:11" ht="16.5">
      <c r="A2" s="2506" t="s">
        <v>653</v>
      </c>
      <c r="B2" s="2506">
        <f>SUM(C14:C23)</f>
        <v>396.01</v>
      </c>
      <c r="C2" s="2679"/>
      <c r="D2" s="2679"/>
      <c r="E2" s="2679"/>
      <c r="F2" s="2679"/>
      <c r="G2" s="2680"/>
      <c r="H2" s="2681"/>
      <c r="I2" s="2681"/>
      <c r="J2" s="2681"/>
      <c r="K2" s="2681"/>
    </row>
    <row r="3" spans="1:11" ht="16.5">
      <c r="A3" s="2506" t="s">
        <v>662</v>
      </c>
      <c r="B3" s="2508">
        <f>项目基本情况!D3</f>
        <v>45037</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12008</v>
      </c>
      <c r="C5" s="2506">
        <f ca="1">IF(B5=D14,结果表!H102,ROUND(B5*10000/$B$1,0))</f>
        <v>34749</v>
      </c>
      <c r="D5" s="2506">
        <f ca="1">ROUND(B5*10000/$B$2,0)</f>
        <v>303225</v>
      </c>
      <c r="E5" s="2679"/>
      <c r="F5" s="2680"/>
      <c r="G5" s="2680"/>
      <c r="H5" s="2681"/>
      <c r="I5" s="2681"/>
      <c r="J5" s="2681"/>
      <c r="K5" s="2681"/>
    </row>
    <row r="6" spans="1:11" ht="16.5">
      <c r="A6" s="2506" t="s">
        <v>656</v>
      </c>
      <c r="B6" s="2506">
        <f ca="1">SUM(G14:G23)</f>
        <v>12008</v>
      </c>
      <c r="C6" s="2506">
        <f ca="1">IF(B6=G14,结果表!H108,ROUND(B6*10000/$B$1,0))</f>
        <v>34749</v>
      </c>
      <c r="D6" s="2506">
        <f ca="1">ROUND(B6*10000/$B$2,0)</f>
        <v>303225</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f ca="1">IF(B8=I14,结果表!H112,ROUND(B8*10000/$B$1,0))</f>
        <v>26724</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3358</v>
      </c>
      <c r="D10" s="2506" t="s">
        <v>3359</v>
      </c>
      <c r="E10" s="3436"/>
      <c r="F10" s="3440" t="s">
        <v>3360</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3455.7</v>
      </c>
      <c r="C14" s="2512">
        <f>结果表!C118</f>
        <v>396.01</v>
      </c>
      <c r="D14" s="2512">
        <f ca="1">结果表!G19</f>
        <v>12008</v>
      </c>
      <c r="E14" s="2512">
        <f ca="1">结果表!I118</f>
        <v>34749</v>
      </c>
      <c r="F14" s="2512">
        <f ca="1">ROUND(D14*10000/C14,0)</f>
        <v>303225</v>
      </c>
      <c r="G14" s="2512">
        <f ca="1">D14</f>
        <v>12008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65" t="s">
        <v>3462</v>
      </c>
      <c r="C2" s="3565"/>
      <c r="D2" s="3565"/>
      <c r="E2" s="3565"/>
      <c r="F2" s="3565"/>
      <c r="G2" s="3565"/>
      <c r="H2" s="3565"/>
      <c r="I2" s="3565"/>
      <c r="J2" s="3565"/>
    </row>
    <row r="3" spans="2:10">
      <c r="B3" s="3566" t="s">
        <v>3463</v>
      </c>
      <c r="C3" s="3566" t="s">
        <v>3464</v>
      </c>
      <c r="D3" s="3566" t="s">
        <v>3465</v>
      </c>
      <c r="E3" s="3566" t="s">
        <v>3466</v>
      </c>
      <c r="F3" s="3566"/>
      <c r="G3" s="3566" t="s">
        <v>3467</v>
      </c>
      <c r="H3" s="3566"/>
      <c r="I3" s="3566" t="s">
        <v>3468</v>
      </c>
      <c r="J3" s="3566"/>
    </row>
    <row r="4" spans="2:10">
      <c r="B4" s="3566"/>
      <c r="C4" s="3566"/>
      <c r="D4" s="3566"/>
      <c r="E4" s="3459" t="s">
        <v>3469</v>
      </c>
      <c r="F4" s="3459" t="s">
        <v>3434</v>
      </c>
      <c r="G4" s="3459" t="s">
        <v>3469</v>
      </c>
      <c r="H4" s="3459" t="s">
        <v>3434</v>
      </c>
      <c r="I4" s="3459" t="s">
        <v>3469</v>
      </c>
      <c r="J4" s="3459" t="s">
        <v>3434</v>
      </c>
    </row>
    <row r="5" spans="2:10">
      <c r="B5" s="3459" t="str">
        <f>[2]典型户型修正!A24</f>
        <v>512-516</v>
      </c>
      <c r="C5" s="3459">
        <f>[2]典型户型修正!B24</f>
        <v>1286.47</v>
      </c>
      <c r="D5" s="3459">
        <f>[2]结果表!C121</f>
        <v>147.41999999999999</v>
      </c>
      <c r="E5" s="3459">
        <f ca="1">I5-G5</f>
        <v>3764</v>
      </c>
      <c r="F5" s="3459">
        <f ca="1">J5-H5</f>
        <v>29259</v>
      </c>
      <c r="G5" s="3459">
        <f ca="1">ROUND(H5*C5/10000,0)</f>
        <v>706</v>
      </c>
      <c r="H5" s="3459">
        <f ca="1">ROUND(J5*F21,0)</f>
        <v>5490</v>
      </c>
      <c r="I5" s="3459">
        <f ca="1">ROUND(J5*C5/10000,0)</f>
        <v>4470</v>
      </c>
      <c r="J5" s="3460">
        <f ca="1">典型户型修正!R24</f>
        <v>34749</v>
      </c>
    </row>
    <row r="6" spans="2:10">
      <c r="B6" s="3459">
        <f>[2]典型户型修正!A26</f>
        <v>2101</v>
      </c>
      <c r="C6" s="3459">
        <f>[2]典型户型修正!B26</f>
        <v>236.83</v>
      </c>
      <c r="D6" s="3459">
        <f>ROUND(C6/$C$16*$C$17,2)</f>
        <v>27.14</v>
      </c>
      <c r="E6" s="3459" t="e">
        <f t="shared" ref="E6:E7" ca="1" si="0">I6-G6</f>
        <v>#N/A</v>
      </c>
      <c r="F6" s="3459" t="e">
        <f ca="1">J6-H6</f>
        <v>#N/A</v>
      </c>
      <c r="G6" s="3459">
        <f ca="1">ROUND(H6*C6/10000,0)</f>
        <v>130</v>
      </c>
      <c r="H6" s="3459">
        <f ca="1">H5</f>
        <v>5490</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132</v>
      </c>
      <c r="H7" s="3459">
        <f ca="1">H6</f>
        <v>5490</v>
      </c>
      <c r="I7" s="3459" t="e">
        <f ca="1">ROUND(J7*C7/10000,0)</f>
        <v>#N/A</v>
      </c>
      <c r="J7" s="3460" t="e">
        <f ca="1">典型户型修正!R26</f>
        <v>#N/A</v>
      </c>
    </row>
    <row r="8" spans="2:10">
      <c r="B8" s="3459" t="s">
        <v>3470</v>
      </c>
      <c r="C8" s="3459">
        <f>SUM(C5:C7)</f>
        <v>1763.4099999999999</v>
      </c>
      <c r="D8" s="3459">
        <f>SUM(D5:D7)</f>
        <v>202.08</v>
      </c>
      <c r="E8" s="3567" t="e">
        <f ca="1">SUM(E5:E7)</f>
        <v>#N/A</v>
      </c>
      <c r="F8" s="3568"/>
      <c r="G8" s="3567">
        <f ca="1">SUM(G5:G7)</f>
        <v>968</v>
      </c>
      <c r="H8" s="3568"/>
      <c r="I8" s="3567" t="e">
        <f ca="1">SUM(I5:I7)</f>
        <v>#N/A</v>
      </c>
      <c r="J8" s="3568"/>
    </row>
    <row r="9" spans="2:10">
      <c r="B9" s="3566" t="s">
        <v>3471</v>
      </c>
      <c r="C9" s="3566"/>
      <c r="D9" s="3566"/>
      <c r="E9" s="3569" t="e">
        <f ca="1">E8*10000</f>
        <v>#N/A</v>
      </c>
      <c r="F9" s="3569"/>
      <c r="G9" s="3569">
        <f ca="1">G8*10000</f>
        <v>9680000</v>
      </c>
      <c r="H9" s="3569"/>
      <c r="I9" s="3569" t="e">
        <f ca="1">I8*10000</f>
        <v>#N/A</v>
      </c>
      <c r="J9" s="3569"/>
    </row>
    <row r="10" spans="2:10">
      <c r="B10" s="3573" t="s">
        <v>3472</v>
      </c>
      <c r="C10" s="3573"/>
      <c r="D10" s="3573"/>
      <c r="E10" s="3574">
        <v>0</v>
      </c>
      <c r="F10" s="3575"/>
      <c r="G10" s="3575"/>
      <c r="H10" s="3575"/>
      <c r="I10" s="3575"/>
      <c r="J10" s="3576"/>
    </row>
    <row r="11" spans="2:10">
      <c r="B11" s="3566" t="s">
        <v>3473</v>
      </c>
      <c r="C11" s="3566"/>
      <c r="D11" s="3566"/>
      <c r="E11" s="3570">
        <f>E10*10000</f>
        <v>0</v>
      </c>
      <c r="F11" s="3571"/>
      <c r="G11" s="3571"/>
      <c r="H11" s="3571"/>
      <c r="I11" s="3571"/>
      <c r="J11" s="3572"/>
    </row>
    <row r="12" spans="2:10">
      <c r="B12" s="3573" t="s">
        <v>3367</v>
      </c>
      <c r="C12" s="3573"/>
      <c r="D12" s="3573"/>
      <c r="E12" s="3574" t="e">
        <f ca="1">I8</f>
        <v>#N/A</v>
      </c>
      <c r="F12" s="3575"/>
      <c r="G12" s="3575"/>
      <c r="H12" s="3575"/>
      <c r="I12" s="3575"/>
      <c r="J12" s="3576"/>
    </row>
    <row r="13" spans="2:10">
      <c r="B13" s="3566" t="s">
        <v>3473</v>
      </c>
      <c r="C13" s="3566"/>
      <c r="D13" s="3566"/>
      <c r="E13" s="3570" t="e">
        <f ca="1">E12*10000</f>
        <v>#N/A</v>
      </c>
      <c r="F13" s="3571"/>
      <c r="G13" s="3571"/>
      <c r="H13" s="3571"/>
      <c r="I13" s="3571"/>
      <c r="J13" s="3572"/>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3474</v>
      </c>
      <c r="C16" s="3457">
        <v>93222.79</v>
      </c>
      <c r="D16" s="3457"/>
      <c r="E16" s="3457"/>
      <c r="F16" s="3457"/>
      <c r="G16" s="3457"/>
      <c r="H16" s="3457"/>
      <c r="I16" s="3457"/>
      <c r="J16" s="3457"/>
    </row>
    <row r="17" spans="2:10">
      <c r="B17" s="3457" t="s">
        <v>3475</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3476</v>
      </c>
      <c r="D19" s="3462"/>
      <c r="E19" s="3463"/>
      <c r="F19" s="3464" t="s">
        <v>3477</v>
      </c>
      <c r="G19" s="3457"/>
      <c r="H19" s="3457"/>
      <c r="I19" s="3457"/>
      <c r="J19" s="3457"/>
    </row>
    <row r="20" spans="2:10">
      <c r="B20" s="3457"/>
      <c r="C20" s="3465"/>
      <c r="D20" s="3466" t="s">
        <v>3478</v>
      </c>
      <c r="E20" s="3467">
        <f ca="1">E18-E21</f>
        <v>0</v>
      </c>
      <c r="F20" s="3468">
        <f ca="1">'收益法 (元)'!C79</f>
        <v>0.84199999999999997</v>
      </c>
      <c r="G20" s="3457"/>
      <c r="H20" s="3457"/>
      <c r="I20" s="3457"/>
      <c r="J20" s="3457"/>
    </row>
    <row r="21" spans="2:10" ht="15.75" thickBot="1">
      <c r="B21" s="3457"/>
      <c r="C21" s="3469"/>
      <c r="D21" s="3470" t="s">
        <v>3479</v>
      </c>
      <c r="E21" s="3471">
        <f ca="1">ROUND(E18*F21,0)</f>
        <v>0</v>
      </c>
      <c r="F21" s="3468">
        <f ca="1">'收益法 (元)'!C80</f>
        <v>0.158</v>
      </c>
      <c r="G21" s="3457"/>
      <c r="H21" s="3457"/>
      <c r="I21" s="3457"/>
      <c r="J21" s="3457"/>
    </row>
    <row r="22" spans="2:10">
      <c r="B22" s="3457"/>
      <c r="C22" s="3457"/>
      <c r="D22" s="3457"/>
      <c r="E22" s="3457"/>
      <c r="F22" s="3457"/>
      <c r="G22" s="3457"/>
      <c r="H22" s="3457"/>
      <c r="I22" s="3457"/>
      <c r="J22" s="3457"/>
    </row>
  </sheetData>
  <mergeCells count="22">
    <mergeCell ref="B13:D13"/>
    <mergeCell ref="E13:J13"/>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Normal="100" zoomScaleSheetLayoutView="100" zoomScalePageLayoutView="80" workbookViewId="0">
      <selection activeCell="D118" sqref="D118:G11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3376</v>
      </c>
      <c r="H1" s="1748" t="str">
        <f>IF(G1="现房","——","估价对象范围")</f>
        <v>——</v>
      </c>
      <c r="I1" s="1749" t="s">
        <v>3393</v>
      </c>
    </row>
    <row r="2" spans="1:12" ht="21.75" customHeight="1" thickBot="1">
      <c r="A2" s="3611" t="str">
        <f>项目基本情况!S2</f>
        <v>北京市朝阳区朝阳门外大街18号房地产</v>
      </c>
      <c r="B2" s="3612"/>
      <c r="C2" s="3612"/>
      <c r="D2" s="3612"/>
      <c r="E2" s="3612"/>
      <c r="F2" s="3612"/>
      <c r="G2" s="3612"/>
      <c r="H2" s="3612"/>
      <c r="I2" s="3613"/>
    </row>
    <row r="3" spans="1:12" ht="12.75">
      <c r="A3" s="3614" t="s">
        <v>1262</v>
      </c>
      <c r="B3" s="3615"/>
      <c r="C3" s="3615"/>
      <c r="D3" s="3615"/>
      <c r="E3" s="3615"/>
      <c r="F3" s="3615"/>
      <c r="G3" s="3615"/>
      <c r="H3" s="3615"/>
      <c r="I3" s="3615"/>
    </row>
    <row r="4" spans="1:12" ht="14.25">
      <c r="A4" s="1752" t="s">
        <v>1263</v>
      </c>
      <c r="B4" s="1753" t="s">
        <v>1264</v>
      </c>
      <c r="C4" s="1754" t="s">
        <v>3392</v>
      </c>
      <c r="D4" s="1754" t="s">
        <v>3499</v>
      </c>
      <c r="E4" s="3616" t="s">
        <v>1265</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1" t="s">
        <v>1266</v>
      </c>
      <c r="B5" s="3578">
        <v>25</v>
      </c>
      <c r="C5" s="3594"/>
      <c r="D5" s="3594"/>
      <c r="E5" s="131" t="s">
        <v>1267</v>
      </c>
      <c r="F5" s="1755"/>
      <c r="G5" s="1755"/>
      <c r="H5" s="1755"/>
      <c r="I5" s="1371"/>
    </row>
    <row r="6" spans="1:12" ht="12.75" customHeight="1">
      <c r="A6" s="3591"/>
      <c r="B6" s="3578"/>
      <c r="C6" s="3595"/>
      <c r="D6" s="3595"/>
      <c r="E6" s="131" t="s">
        <v>1268</v>
      </c>
      <c r="F6" s="1755"/>
      <c r="G6" s="1755"/>
      <c r="H6" s="1755"/>
      <c r="I6" s="1371"/>
    </row>
    <row r="7" spans="1:12" ht="12.75" customHeight="1">
      <c r="A7" s="3591"/>
      <c r="B7" s="3578"/>
      <c r="C7" s="3596"/>
      <c r="D7" s="3596"/>
      <c r="E7" s="131" t="s">
        <v>1269</v>
      </c>
      <c r="F7" s="1755"/>
      <c r="G7" s="1755"/>
      <c r="H7" s="1755"/>
      <c r="I7" s="1371"/>
    </row>
    <row r="8" spans="1:12" ht="12.75" customHeight="1">
      <c r="A8" s="3591" t="s">
        <v>1270</v>
      </c>
      <c r="B8" s="3578">
        <v>15</v>
      </c>
      <c r="C8" s="3594"/>
      <c r="D8" s="3594"/>
      <c r="E8" s="131" t="s">
        <v>1271</v>
      </c>
      <c r="F8" s="1755"/>
      <c r="G8" s="1755"/>
      <c r="H8" s="1755"/>
      <c r="I8" s="1371"/>
    </row>
    <row r="9" spans="1:12" ht="12.75" customHeight="1">
      <c r="A9" s="3591"/>
      <c r="B9" s="3578"/>
      <c r="C9" s="3596"/>
      <c r="D9" s="3596"/>
      <c r="E9" s="131" t="s">
        <v>1272</v>
      </c>
      <c r="F9" s="1755"/>
      <c r="G9" s="1755"/>
      <c r="H9" s="1755"/>
      <c r="I9" s="1371"/>
    </row>
    <row r="10" spans="1:12" ht="12.75" customHeight="1">
      <c r="A10" s="3591" t="s">
        <v>1273</v>
      </c>
      <c r="B10" s="3578">
        <v>15</v>
      </c>
      <c r="C10" s="3594"/>
      <c r="D10" s="3594"/>
      <c r="E10" s="131" t="s">
        <v>1274</v>
      </c>
      <c r="F10" s="1755"/>
      <c r="G10" s="1755"/>
      <c r="H10" s="1755"/>
      <c r="I10" s="1371"/>
    </row>
    <row r="11" spans="1:12" ht="12.75" customHeight="1">
      <c r="A11" s="3591"/>
      <c r="B11" s="3578"/>
      <c r="C11" s="3596"/>
      <c r="D11" s="3596"/>
      <c r="E11" s="131" t="s">
        <v>1275</v>
      </c>
      <c r="F11" s="1755"/>
      <c r="G11" s="1755"/>
      <c r="H11" s="1755"/>
      <c r="I11" s="1371"/>
    </row>
    <row r="12" spans="1:12" ht="12.75" customHeight="1">
      <c r="A12" s="3591" t="s">
        <v>1276</v>
      </c>
      <c r="B12" s="3578">
        <v>15</v>
      </c>
      <c r="C12" s="3594"/>
      <c r="D12" s="3594"/>
      <c r="E12" s="131" t="s">
        <v>1277</v>
      </c>
      <c r="F12" s="1755"/>
      <c r="G12" s="1755"/>
      <c r="H12" s="1755"/>
      <c r="I12" s="1371"/>
    </row>
    <row r="13" spans="1:12" ht="12.75" customHeight="1">
      <c r="A13" s="3591"/>
      <c r="B13" s="3578"/>
      <c r="C13" s="3596"/>
      <c r="D13" s="3596"/>
      <c r="E13" s="131" t="s">
        <v>1278</v>
      </c>
      <c r="F13" s="1755"/>
      <c r="G13" s="1755"/>
      <c r="H13" s="1755"/>
      <c r="I13" s="1371"/>
    </row>
    <row r="14" spans="1:12" ht="12.75" customHeight="1">
      <c r="A14" s="3591" t="s">
        <v>1279</v>
      </c>
      <c r="B14" s="3578">
        <v>30</v>
      </c>
      <c r="C14" s="3594">
        <v>7</v>
      </c>
      <c r="D14" s="3594">
        <v>3</v>
      </c>
      <c r="E14" s="131" t="s">
        <v>1280</v>
      </c>
      <c r="F14" s="1755"/>
      <c r="G14" s="1755"/>
      <c r="H14" s="1755"/>
      <c r="I14" s="1371"/>
    </row>
    <row r="15" spans="1:12" ht="12.75" customHeight="1">
      <c r="A15" s="3591"/>
      <c r="B15" s="3578"/>
      <c r="C15" s="3595"/>
      <c r="D15" s="3595"/>
      <c r="E15" s="131" t="s">
        <v>1281</v>
      </c>
      <c r="F15" s="1755"/>
      <c r="G15" s="1755"/>
      <c r="H15" s="1755"/>
      <c r="I15" s="1371"/>
    </row>
    <row r="16" spans="1:12" ht="12.75" customHeight="1">
      <c r="A16" s="3591"/>
      <c r="B16" s="3578"/>
      <c r="C16" s="3596"/>
      <c r="D16" s="3596"/>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601" t="s">
        <v>2126</v>
      </c>
      <c r="F18" s="3602"/>
      <c r="G18" s="3602"/>
      <c r="H18" s="3602"/>
      <c r="I18" s="3602"/>
      <c r="K18" s="302" t="s">
        <v>1287</v>
      </c>
      <c r="L18" s="302">
        <f>IF(C1="",'数据-汇总表'!E3,SUMIF(项目类型,C1,'数据-汇总表'!E17:E26)+SUMIF(项目类型,C1,'数据-汇总表'!I17:I26))</f>
        <v>3455.7</v>
      </c>
      <c r="M18" s="302">
        <f>IF(C1="",'数据-汇总表'!E3,SUMIF(项目类型,C1,'数据-汇总表'!E17:E26))</f>
        <v>3455.7</v>
      </c>
    </row>
    <row r="19" spans="1:36" ht="15">
      <c r="A19" s="1759" t="s">
        <v>1288</v>
      </c>
      <c r="B19" s="1760" t="s">
        <v>1289</v>
      </c>
      <c r="C19" s="134">
        <f ca="1">ROUND(SUMIF(INDIRECT("'"&amp;C4&amp;"'"&amp;"!A:A"),结果表!B19,INDIRECT("'"&amp;C4&amp;"'"&amp;"!B:B")),0)</f>
        <v>12941</v>
      </c>
      <c r="D19" s="135">
        <f ca="1">ROUND(SUMIF(INDIRECT("'"&amp;D4&amp;"'"&amp;"!A:A"),结果表!B19,INDIRECT("'"&amp;D4&amp;"'"&amp;"!B:B")),0)</f>
        <v>9832</v>
      </c>
      <c r="E19" s="1759" t="s">
        <v>1290</v>
      </c>
      <c r="F19" s="1760" t="s">
        <v>1289</v>
      </c>
      <c r="G19" s="136">
        <f ca="1">ROUND(C19*$C$18+D19*$D$18,0)</f>
        <v>12008</v>
      </c>
      <c r="H19" s="1761" t="s">
        <v>1291</v>
      </c>
      <c r="I19" s="129"/>
      <c r="K19" s="302" t="s">
        <v>1292</v>
      </c>
      <c r="L19" s="302">
        <f>IF(C1="",'数据-汇总表'!D3,SUMIF(项目类型,C1,'数据-汇总表'!D17:D26)+SUMIF(项目类型,C1,'数据-汇总表'!H17:H27))</f>
        <v>396.01</v>
      </c>
      <c r="M19" s="302">
        <f>IF(C1="",'数据-汇总表'!D3,SUMIF(项目类型,C1,'数据-汇总表'!D17:D26))</f>
        <v>396.01</v>
      </c>
    </row>
    <row r="20" spans="1:36" ht="15">
      <c r="A20" s="1762"/>
      <c r="B20" s="1024" t="s">
        <v>1293</v>
      </c>
      <c r="C20" s="137">
        <f ca="1">SUMIF(INDIRECT("'"&amp;C4&amp;"'"&amp;"!A:A"),结果表!B20,INDIRECT("'"&amp;C4&amp;"'"&amp;"!B:B"))</f>
        <v>37447</v>
      </c>
      <c r="D20" s="138">
        <f ca="1">SUMIF(INDIRECT("'"&amp;D4&amp;"'"&amp;"!A:A"),结果表!B20,INDIRECT("'"&amp;D4&amp;"'"&amp;"!B:B"))</f>
        <v>28452</v>
      </c>
      <c r="E20" s="1762"/>
      <c r="F20" s="1024" t="s">
        <v>1293</v>
      </c>
      <c r="G20" s="139">
        <f ca="1">ROUND(C20*$C$18+D20*$D$18,0)</f>
        <v>34749</v>
      </c>
      <c r="H20" s="806" t="s">
        <v>1294</v>
      </c>
      <c r="I20" s="129"/>
      <c r="J20" s="723">
        <f ca="1">23900/G20</f>
        <v>0.68778957667846552</v>
      </c>
    </row>
    <row r="21" spans="1:36" ht="15" customHeight="1" thickBot="1">
      <c r="A21" s="826"/>
      <c r="B21" s="1763" t="s">
        <v>1295</v>
      </c>
      <c r="C21" s="717">
        <f ca="1">ROUND(C19*10000/L19,0)</f>
        <v>326785</v>
      </c>
      <c r="D21" s="718">
        <f ca="1">ROUND(D19*10000/L19,0)</f>
        <v>248277</v>
      </c>
      <c r="E21" s="826"/>
      <c r="F21" s="1763" t="s">
        <v>1295</v>
      </c>
      <c r="G21" s="140">
        <f ca="1">ROUND(G19*10000/L19,0)</f>
        <v>303225</v>
      </c>
      <c r="H21" s="1764" t="s">
        <v>1294</v>
      </c>
      <c r="I21" s="129"/>
    </row>
    <row r="22" spans="1:36" ht="15" thickBot="1">
      <c r="A22" s="1686" t="s">
        <v>1296</v>
      </c>
      <c r="B22" s="1765"/>
      <c r="C22" s="1766"/>
      <c r="D22" s="719">
        <f ca="1">IF(C19&lt;D19,D19/C19-1,C19/D19-1)</f>
        <v>0.31621236777868189</v>
      </c>
      <c r="E22" s="129"/>
      <c r="F22" s="129"/>
      <c r="G22" s="129"/>
      <c r="H22" s="129"/>
      <c r="I22" s="129"/>
    </row>
    <row r="23" spans="1:36" ht="13.5" thickBot="1">
      <c r="A23" s="1745"/>
      <c r="B23" s="1745"/>
      <c r="C23" s="1745"/>
      <c r="D23" s="1745"/>
      <c r="E23" s="129"/>
      <c r="F23" s="129"/>
      <c r="G23" s="129"/>
      <c r="H23" s="129"/>
      <c r="I23" s="129"/>
    </row>
    <row r="24" spans="1:36" ht="14.25">
      <c r="A24" s="3585" t="s">
        <v>1297</v>
      </c>
      <c r="B24" s="1760" t="s">
        <v>1289</v>
      </c>
      <c r="C24" s="136">
        <f>IF(B30=0,0,D30)</f>
        <v>0</v>
      </c>
      <c r="D24" s="1767"/>
      <c r="E24" s="129"/>
      <c r="F24" s="129"/>
      <c r="G24" s="129"/>
      <c r="H24" s="129"/>
      <c r="I24" s="129"/>
    </row>
    <row r="25" spans="1:36" ht="14.25">
      <c r="A25" s="3586"/>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34749</v>
      </c>
      <c r="D32" s="1773" t="s">
        <v>3434</v>
      </c>
      <c r="E32" s="129"/>
      <c r="F32" s="129"/>
      <c r="G32" s="129"/>
      <c r="H32" s="129"/>
      <c r="I32" s="129"/>
    </row>
    <row r="33" spans="1:15" ht="15">
      <c r="A33" s="784" t="s">
        <v>1304</v>
      </c>
      <c r="B33" s="1774"/>
      <c r="C33" s="1775" t="s">
        <v>3435</v>
      </c>
      <c r="D33" s="1776" t="s">
        <v>3499</v>
      </c>
      <c r="E33" s="1777" t="s">
        <v>1305</v>
      </c>
      <c r="F33" s="1778" t="str">
        <f>IF(D32="楼面单价","取值（单价）","取值（总价）")</f>
        <v>取值（单价）</v>
      </c>
      <c r="G33" s="129"/>
      <c r="H33" s="129"/>
      <c r="I33" s="129"/>
    </row>
    <row r="34" spans="1:15" ht="15">
      <c r="A34" s="1779"/>
      <c r="B34" s="1780" t="s">
        <v>1306</v>
      </c>
      <c r="C34" s="148">
        <f ca="1">IF(C33="自定义",F34,C32-C35)</f>
        <v>29293</v>
      </c>
      <c r="D34" s="859">
        <f ca="1">IF(C33="自定义",ROUND(C34/C32,3),IF(C33="收益比率",SUMIF(INDIRECT("'"&amp;D33&amp;"'"&amp;"!b:b"),"土地收益比率",INDIRECT("'"&amp;D33&amp;"'"&amp;"!c:c")),SUMIF(INDIRECT("'"&amp;D33&amp;"'"&amp;"!b:b"),"土地成本比率",INDIRECT("'"&amp;D33&amp;"'"&amp;"!c:c"))))</f>
        <v>0.84299999999999997</v>
      </c>
      <c r="E34" s="1781" t="s">
        <v>1307</v>
      </c>
      <c r="F34" s="1328"/>
      <c r="G34" s="129"/>
      <c r="H34" s="129"/>
      <c r="I34" s="129"/>
    </row>
    <row r="35" spans="1:15" ht="15.75" thickBot="1">
      <c r="A35" s="1782"/>
      <c r="B35" s="1783" t="s">
        <v>1308</v>
      </c>
      <c r="C35" s="1168">
        <f ca="1">IF(C33="自定义",F35,ROUND(C32*D35,0))</f>
        <v>5456</v>
      </c>
      <c r="D35" s="1169">
        <f ca="1">IF(C33="自定义",ROUND(C35/C32,3),IF(C33="收益比率",SUMIF(INDIRECT("'"&amp;D33&amp;"'"&amp;"!b:b"),"建筑物收益比率",INDIRECT("'"&amp;D33&amp;"'"&amp;"!c:c")),SUMIF(INDIRECT("'"&amp;D33&amp;"'"&amp;"!b:b"),"建筑物成本比率",INDIRECT("'"&amp;D33&amp;"'"&amp;"!c:c"))))</f>
        <v>0.157</v>
      </c>
      <c r="E35" s="1784" t="s">
        <v>1309</v>
      </c>
      <c r="F35" s="154"/>
      <c r="G35" s="129"/>
      <c r="H35" s="129"/>
      <c r="I35" s="129"/>
    </row>
    <row r="36" spans="1:15" ht="15.75" thickBot="1">
      <c r="A36" s="3605" t="s">
        <v>1310</v>
      </c>
      <c r="B36" s="1785" t="s">
        <v>1311</v>
      </c>
      <c r="C36" s="145"/>
      <c r="D36" s="1786"/>
      <c r="E36" s="1787"/>
      <c r="F36" s="1788"/>
      <c r="G36" s="129"/>
      <c r="H36" s="129"/>
      <c r="I36" s="129"/>
    </row>
    <row r="37" spans="1:15" ht="15.75" thickBot="1">
      <c r="A37" s="3606"/>
      <c r="B37" s="1672" t="s">
        <v>1312</v>
      </c>
      <c r="C37" s="147"/>
      <c r="D37" s="1137"/>
      <c r="E37" s="1137"/>
      <c r="F37" s="1788"/>
      <c r="G37" s="129"/>
      <c r="H37" s="129"/>
      <c r="I37" s="129"/>
    </row>
    <row r="38" spans="1:15" ht="15.75" thickBot="1">
      <c r="A38" s="3607"/>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82" t="s">
        <v>1324</v>
      </c>
      <c r="B45" s="3583"/>
      <c r="C45" s="3584"/>
      <c r="D45" s="155">
        <f ca="1">G19</f>
        <v>12008</v>
      </c>
      <c r="E45" s="156" t="s">
        <v>1325</v>
      </c>
      <c r="F45" s="157">
        <v>1</v>
      </c>
      <c r="G45" s="158" t="s">
        <v>1326</v>
      </c>
      <c r="H45" s="129"/>
      <c r="I45" s="129"/>
      <c r="J45" s="3659" t="s">
        <v>1327</v>
      </c>
      <c r="K45" s="3659"/>
      <c r="L45" s="3659"/>
      <c r="M45" s="3659"/>
      <c r="N45" s="3659"/>
      <c r="O45" s="3659"/>
    </row>
    <row r="46" spans="1:15" ht="14.25" customHeight="1">
      <c r="A46" s="3579" t="s">
        <v>1328</v>
      </c>
      <c r="B46" s="3580"/>
      <c r="C46" s="3580"/>
      <c r="D46" s="3580"/>
      <c r="E46" s="3580"/>
      <c r="F46" s="3580"/>
      <c r="G46" s="3581"/>
      <c r="H46" s="1804"/>
      <c r="I46" s="159"/>
      <c r="J46" s="2517">
        <v>1</v>
      </c>
      <c r="K46" s="3640" t="s">
        <v>1329</v>
      </c>
      <c r="L46" s="3640"/>
      <c r="M46" s="3660"/>
      <c r="N46" s="3660"/>
      <c r="O46" s="3660"/>
    </row>
    <row r="47" spans="1:15" ht="12" customHeight="1">
      <c r="A47" s="160" t="s">
        <v>1330</v>
      </c>
      <c r="B47" s="161"/>
      <c r="C47" s="162"/>
      <c r="D47" s="1085" t="s">
        <v>1331</v>
      </c>
      <c r="E47" s="302" t="s">
        <v>1332</v>
      </c>
      <c r="F47" s="163" t="s">
        <v>1333</v>
      </c>
      <c r="G47" s="2540" t="s">
        <v>1334</v>
      </c>
      <c r="H47" s="2541"/>
      <c r="I47" s="159"/>
      <c r="J47" s="2517">
        <v>2</v>
      </c>
      <c r="K47" s="3640" t="s">
        <v>1335</v>
      </c>
      <c r="L47" s="3640"/>
      <c r="M47" s="3661">
        <f>'数据-取费表'!B2</f>
        <v>45037</v>
      </c>
      <c r="N47" s="3661"/>
      <c r="O47" s="3661"/>
    </row>
    <row r="48" spans="1:15" ht="25.5">
      <c r="A48" s="3610" t="s">
        <v>1336</v>
      </c>
      <c r="B48" s="3593"/>
      <c r="C48" s="3593"/>
      <c r="D48" s="2322">
        <f ca="1">IF(H48="情况1",0,IF(H48="情况2",D52,IF(H48="情况3",D53,IF(H48="情况4",D54))))</f>
        <v>640</v>
      </c>
      <c r="E48" s="2332" t="str">
        <f>IF(H48="情况4","(销售额-原购置价)×税（费）率","销售额×税（费）率")</f>
        <v>销售额×税（费）率</v>
      </c>
      <c r="F48" s="2542">
        <f>IF(H48="情况1","免征",'数据-取费表'!B41)</f>
        <v>5.6000000000000001E-2</v>
      </c>
      <c r="G48" s="2543" t="s">
        <v>1337</v>
      </c>
      <c r="H48" s="2544" t="s">
        <v>3457</v>
      </c>
      <c r="I48" s="1804"/>
      <c r="J48" s="2517">
        <v>3</v>
      </c>
      <c r="K48" s="3640" t="s">
        <v>1338</v>
      </c>
      <c r="L48" s="3640"/>
      <c r="M48" s="3662">
        <f ca="1">H107</f>
        <v>12008</v>
      </c>
      <c r="N48" s="3662"/>
      <c r="O48" s="3662"/>
    </row>
    <row r="49" spans="1:35" ht="25.5" customHeight="1">
      <c r="A49" s="2331" t="s">
        <v>1339</v>
      </c>
      <c r="B49" s="3577" t="s">
        <v>1340</v>
      </c>
      <c r="C49" s="3577"/>
      <c r="D49" s="1588">
        <v>0</v>
      </c>
      <c r="E49" s="324" t="s">
        <v>1341</v>
      </c>
      <c r="F49" s="2418" t="s">
        <v>28</v>
      </c>
      <c r="G49" s="3646"/>
      <c r="H49" s="2308" t="s">
        <v>2129</v>
      </c>
      <c r="I49" s="2309"/>
      <c r="J49" s="2517">
        <v>4</v>
      </c>
      <c r="K49" s="3640" t="str">
        <f>IF(项目基本情况!E8="房地产抵押价值","房地产抵押价值","抵押担保权已注销时的房地产抵押价值")</f>
        <v>房地产抵押价值</v>
      </c>
      <c r="L49" s="3640"/>
      <c r="M49" s="3662">
        <f ca="1">M48</f>
        <v>12008</v>
      </c>
      <c r="N49" s="3662"/>
      <c r="O49" s="3662"/>
    </row>
    <row r="50" spans="1:35" ht="25.5" customHeight="1">
      <c r="A50" s="2545"/>
      <c r="B50" s="3577" t="s">
        <v>1342</v>
      </c>
      <c r="C50" s="3577"/>
      <c r="D50" s="2546"/>
      <c r="E50" s="332"/>
      <c r="F50" s="2418"/>
      <c r="G50" s="3647"/>
      <c r="H50" s="2310" t="s">
        <v>2130</v>
      </c>
      <c r="I50" s="2309"/>
      <c r="J50" s="3659" t="s">
        <v>1343</v>
      </c>
      <c r="K50" s="3659"/>
      <c r="L50" s="3659"/>
      <c r="M50" s="3659"/>
      <c r="N50" s="3659"/>
      <c r="O50" s="3659"/>
    </row>
    <row r="51" spans="1:35" ht="20.45" customHeight="1">
      <c r="A51" s="2547"/>
      <c r="B51" s="3577" t="s">
        <v>1344</v>
      </c>
      <c r="C51" s="3577"/>
      <c r="D51" s="1085"/>
      <c r="E51" s="327"/>
      <c r="F51" s="2418"/>
      <c r="G51" s="3648"/>
      <c r="H51" s="2310" t="s">
        <v>2131</v>
      </c>
      <c r="I51" s="2309"/>
      <c r="J51" s="2518" t="s">
        <v>1345</v>
      </c>
      <c r="K51" s="3640" t="s">
        <v>1346</v>
      </c>
      <c r="L51" s="3640"/>
      <c r="M51" s="2518" t="s">
        <v>1347</v>
      </c>
      <c r="N51" s="2518" t="s">
        <v>1348</v>
      </c>
      <c r="O51" s="2518" t="s">
        <v>1349</v>
      </c>
    </row>
    <row r="52" spans="1:35" ht="24" customHeight="1">
      <c r="A52" s="2333" t="s">
        <v>1350</v>
      </c>
      <c r="B52" s="3577" t="s">
        <v>1351</v>
      </c>
      <c r="C52" s="3577"/>
      <c r="D52" s="1085">
        <f ca="1">ROUND(D45*'数据-取费表'!B41/(1+'数据-取费表'!C42),0)</f>
        <v>640</v>
      </c>
      <c r="E52" s="2332" t="s">
        <v>1352</v>
      </c>
      <c r="F52" s="2548">
        <f>'数据-取费表'!B41</f>
        <v>5.6000000000000001E-2</v>
      </c>
      <c r="G52" s="2549"/>
      <c r="H52" s="2538"/>
      <c r="I52" s="1805"/>
      <c r="J52" s="2517">
        <v>1</v>
      </c>
      <c r="K52" s="3641" t="s">
        <v>1353</v>
      </c>
      <c r="L52" s="3641"/>
      <c r="M52" s="2519">
        <f ca="1">D48</f>
        <v>640</v>
      </c>
      <c r="N52" s="2517" t="str">
        <f>E48</f>
        <v>销售额×税（费）率</v>
      </c>
      <c r="O52" s="2520">
        <f>F48</f>
        <v>5.6000000000000001E-2</v>
      </c>
    </row>
    <row r="53" spans="1:35" ht="12" customHeight="1">
      <c r="A53" s="2333" t="s">
        <v>1354</v>
      </c>
      <c r="B53" s="3603" t="s">
        <v>2282</v>
      </c>
      <c r="C53" s="3604"/>
      <c r="D53" s="1085">
        <f ca="1">ROUND(D45*'数据-取费表'!B41/(1+'数据-取费表'!C42),0)</f>
        <v>640</v>
      </c>
      <c r="E53" s="2332" t="s">
        <v>1352</v>
      </c>
      <c r="F53" s="2548">
        <f>'数据-取费表'!B41</f>
        <v>5.6000000000000001E-2</v>
      </c>
      <c r="G53" s="2549"/>
      <c r="H53" s="2538"/>
      <c r="I53" s="1805"/>
      <c r="J53" s="2517">
        <v>2</v>
      </c>
      <c r="K53" s="3641" t="s">
        <v>1355</v>
      </c>
      <c r="L53" s="3641"/>
      <c r="M53" s="2519">
        <f t="shared" ref="M53:O54" ca="1" si="0">D55</f>
        <v>6</v>
      </c>
      <c r="N53" s="2517" t="str">
        <f t="shared" si="0"/>
        <v>销售额×税（费）率</v>
      </c>
      <c r="O53" s="2520">
        <f t="shared" si="0"/>
        <v>5.0000000000000001E-4</v>
      </c>
    </row>
    <row r="54" spans="1:35" ht="12" customHeight="1">
      <c r="A54" s="2333" t="s">
        <v>1356</v>
      </c>
      <c r="B54" s="3603" t="s">
        <v>2283</v>
      </c>
      <c r="C54" s="3604"/>
      <c r="D54" s="1085">
        <f ca="1">C68</f>
        <v>640</v>
      </c>
      <c r="E54" s="327" t="s">
        <v>1357</v>
      </c>
      <c r="F54" s="2548">
        <f>'数据-取费表'!B41</f>
        <v>5.6000000000000001E-2</v>
      </c>
      <c r="G54" s="2549"/>
      <c r="H54" s="2550"/>
      <c r="I54" s="1805"/>
      <c r="J54" s="2517">
        <v>3</v>
      </c>
      <c r="K54" s="3641" t="s">
        <v>1358</v>
      </c>
      <c r="L54" s="3641"/>
      <c r="M54" s="2519">
        <f t="shared" ca="1" si="0"/>
        <v>2127</v>
      </c>
      <c r="N54" s="2517" t="str">
        <f t="shared" si="0"/>
        <v>增值额×税（费）率</v>
      </c>
      <c r="O54" s="2521" t="str">
        <f t="shared" si="0"/>
        <v>——</v>
      </c>
    </row>
    <row r="55" spans="1:35" ht="24" customHeight="1">
      <c r="A55" s="3592" t="s">
        <v>1359</v>
      </c>
      <c r="B55" s="3593"/>
      <c r="C55" s="3593"/>
      <c r="D55" s="2322">
        <f ca="1">IF(H55="个人住宅",0,ROUND(D45*I55,0))</f>
        <v>6</v>
      </c>
      <c r="E55" s="2332" t="s">
        <v>1360</v>
      </c>
      <c r="F55" s="2548">
        <f>IF(H55="正常",I55,"免征")</f>
        <v>5.0000000000000001E-4</v>
      </c>
      <c r="G55" s="2549"/>
      <c r="H55" s="2544" t="s">
        <v>3395</v>
      </c>
      <c r="I55" s="165">
        <f>'数据-取费表'!B49</f>
        <v>5.0000000000000001E-4</v>
      </c>
      <c r="J55" s="2517" t="str">
        <f>IF(H59="非个人房产","",4)</f>
        <v/>
      </c>
      <c r="K55" s="3641" t="str">
        <f>IF(H59="非个人房产","——","个人所得税")</f>
        <v>——</v>
      </c>
      <c r="L55" s="3641"/>
      <c r="M55" s="2522" t="str">
        <f>D59</f>
        <v>——</v>
      </c>
      <c r="N55" s="2038" t="str">
        <f>E59</f>
        <v>——</v>
      </c>
      <c r="O55" s="2523" t="str">
        <f>F59</f>
        <v>——</v>
      </c>
    </row>
    <row r="56" spans="1:35" ht="24.75">
      <c r="A56" s="3592" t="s">
        <v>1361</v>
      </c>
      <c r="B56" s="3593"/>
      <c r="C56" s="3593"/>
      <c r="D56" s="2322">
        <f ca="1">IF(H56="个人住宅",D57,D58)</f>
        <v>2127</v>
      </c>
      <c r="E56" s="2332" t="s">
        <v>1362</v>
      </c>
      <c r="F56" s="2548" t="str">
        <f>IF(H56="正常",F58,"免征")</f>
        <v>——</v>
      </c>
      <c r="G56" s="2551" t="s">
        <v>1363</v>
      </c>
      <c r="H56" s="2552" t="s">
        <v>3395</v>
      </c>
      <c r="I56" s="1806"/>
      <c r="J56" s="2517" t="str">
        <f>IF(项目基本情况!K6="上海银行",IF(J55="",4,J55+1),"")</f>
        <v/>
      </c>
      <c r="K56" s="3664" t="str">
        <f>IF(项目基本情况!K6="上海银行","其他处置费用","")</f>
        <v/>
      </c>
      <c r="L56" s="3665"/>
      <c r="M56" s="2519" t="str">
        <f>IF(项目基本情况!K6="上海银行",M69,"")</f>
        <v/>
      </c>
      <c r="N56" s="3664" t="str">
        <f>IF(项目基本情况!K6="上海银行","包含处置中涉及的律师、诉讼、拍卖、评估等费用","")</f>
        <v/>
      </c>
      <c r="O56" s="3667"/>
    </row>
    <row r="57" spans="1:35" ht="12.75">
      <c r="A57" s="2333" t="s">
        <v>1339</v>
      </c>
      <c r="B57" s="3603" t="s">
        <v>1364</v>
      </c>
      <c r="C57" s="3604"/>
      <c r="D57" s="1588">
        <v>0</v>
      </c>
      <c r="E57" s="324" t="s">
        <v>1341</v>
      </c>
      <c r="F57" s="302"/>
      <c r="G57" s="2549"/>
      <c r="H57" s="2553"/>
      <c r="I57" s="1806"/>
      <c r="J57" s="3641">
        <f>IF(AND(J55="",J56=""),4,IF(项目基本情况!K6="上海银行",结果表!J56+1,结果表!J55+1))</f>
        <v>4</v>
      </c>
      <c r="K57" s="3641" t="s">
        <v>1365</v>
      </c>
      <c r="L57" s="2524" t="s">
        <v>1366</v>
      </c>
      <c r="M57" s="2525"/>
      <c r="N57" s="2526">
        <f ca="1">SUMIF(M52:M56,"&lt;9e307")</f>
        <v>2773</v>
      </c>
      <c r="O57" s="2527"/>
      <c r="P57" s="2683">
        <f ca="1">N57/M49</f>
        <v>0.23092938041305797</v>
      </c>
    </row>
    <row r="58" spans="1:35" ht="24.75">
      <c r="A58" s="2333" t="s">
        <v>1350</v>
      </c>
      <c r="B58" s="3603" t="s">
        <v>1367</v>
      </c>
      <c r="C58" s="3577"/>
      <c r="D58" s="2322">
        <f ca="1">IF(H58="转让取得",C81,C97)</f>
        <v>2127</v>
      </c>
      <c r="E58" s="2332" t="s">
        <v>1362</v>
      </c>
      <c r="F58" s="302" t="s">
        <v>28</v>
      </c>
      <c r="G58" s="2549"/>
      <c r="H58" s="2552" t="s">
        <v>3458</v>
      </c>
      <c r="I58" s="1806"/>
      <c r="J58" s="3641"/>
      <c r="K58" s="3641"/>
      <c r="L58" s="2524" t="s">
        <v>1368</v>
      </c>
      <c r="M58" s="2528"/>
      <c r="N58" s="2529" t="str">
        <f ca="1">NUMBERSTRING(INT(N57*10000),2)&amp;"元整"</f>
        <v>贰仟柒佰柒拾叁万元整</v>
      </c>
      <c r="O58" s="2530"/>
    </row>
    <row r="59" spans="1:35" ht="24.75" thickBot="1">
      <c r="A59" s="3644" t="s">
        <v>1369</v>
      </c>
      <c r="B59" s="3645"/>
      <c r="C59" s="3645"/>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3461</v>
      </c>
      <c r="I59" s="2311" t="s">
        <v>2132</v>
      </c>
      <c r="J59" s="3642">
        <f>J57+1</f>
        <v>5</v>
      </c>
      <c r="K59" s="3641" t="s">
        <v>1370</v>
      </c>
      <c r="L59" s="2517" t="s">
        <v>1366</v>
      </c>
      <c r="M59" s="2531"/>
      <c r="N59" s="2532">
        <f ca="1">M49-N57</f>
        <v>9235</v>
      </c>
      <c r="O59" s="2533"/>
    </row>
    <row r="60" spans="1:35" ht="12" customHeight="1">
      <c r="A60" s="1807"/>
      <c r="B60" s="1745"/>
      <c r="C60" s="1745"/>
      <c r="D60" s="1745"/>
      <c r="E60" s="1576"/>
      <c r="F60" s="1806"/>
      <c r="G60" s="1806"/>
      <c r="H60" s="1808"/>
      <c r="I60" s="129"/>
      <c r="J60" s="3643"/>
      <c r="K60" s="3641"/>
      <c r="L60" s="2524" t="s">
        <v>1368</v>
      </c>
      <c r="M60" s="2528"/>
      <c r="N60" s="2529" t="str">
        <f ca="1">NUMBERSTRING(INT(N59*10000),2)&amp;"元整"</f>
        <v>玖仟贰佰叁拾伍万元整</v>
      </c>
      <c r="O60" s="2530"/>
    </row>
    <row r="61" spans="1:35" ht="13.5" thickBot="1">
      <c r="A61" s="3590" t="s">
        <v>1371</v>
      </c>
      <c r="B61" s="3590"/>
      <c r="C61" s="3590"/>
      <c r="D61" s="3590"/>
      <c r="E61" s="3590"/>
      <c r="F61" s="1806"/>
      <c r="G61" s="1806"/>
      <c r="H61" s="1808"/>
      <c r="I61" s="129"/>
      <c r="J61" s="2517">
        <f>J59+1</f>
        <v>6</v>
      </c>
      <c r="K61" s="3641" t="s">
        <v>1372</v>
      </c>
      <c r="L61" s="3641"/>
      <c r="M61" s="2534"/>
      <c r="N61" s="2535">
        <f ca="1">ROUND(N59*10000/'数据-基础表'!B3,0)</f>
        <v>26724</v>
      </c>
      <c r="O61" s="2536"/>
    </row>
    <row r="62" spans="1:35" ht="12.75">
      <c r="A62" s="3608" t="s">
        <v>1373</v>
      </c>
      <c r="B62" s="3609"/>
      <c r="C62" s="2019"/>
      <c r="D62" s="2019" t="s">
        <v>1374</v>
      </c>
      <c r="E62" s="166" t="s">
        <v>1375</v>
      </c>
      <c r="F62" s="1806"/>
      <c r="G62" s="1806"/>
      <c r="H62" s="1808"/>
      <c r="I62" s="129"/>
    </row>
    <row r="63" spans="1:35" ht="12.75">
      <c r="A63" s="173" t="s">
        <v>330</v>
      </c>
      <c r="B63" s="167" t="s">
        <v>1376</v>
      </c>
      <c r="C63" s="2558">
        <f ca="1">ROUND((C64+C65)/(1+'数据-取费表'!C42),0)</f>
        <v>11436</v>
      </c>
      <c r="D63" s="167"/>
      <c r="E63" s="168"/>
      <c r="F63" s="1806"/>
      <c r="G63" s="1806"/>
      <c r="H63" s="1808"/>
      <c r="I63" s="129"/>
      <c r="J63" s="3666" t="s">
        <v>1377</v>
      </c>
      <c r="K63" s="1330" t="s">
        <v>1378</v>
      </c>
      <c r="L63" s="1330">
        <f ca="1">IF(M49&gt;10000,M49*0.5%,IF(AND(M49&gt;1000,M49&lt;=10000),M49*1%,IF(AND(M49&gt;100,M49&lt;=1000),M49*3%,IF(AND(M49&gt;10,M49&lt;=100),M49*5%,M49*8%))))</f>
        <v>60.04</v>
      </c>
      <c r="M63" s="302">
        <f ca="1">ROUND(L63,1)</f>
        <v>60</v>
      </c>
      <c r="N63" s="2537"/>
      <c r="Z63" s="1750"/>
      <c r="AI63" s="1751"/>
    </row>
    <row r="64" spans="1:35" ht="14.25" customHeight="1">
      <c r="A64" s="169" t="s">
        <v>325</v>
      </c>
      <c r="B64" s="170" t="s">
        <v>1379</v>
      </c>
      <c r="C64" s="2559">
        <f ca="1">D45</f>
        <v>12008</v>
      </c>
      <c r="D64" s="170" t="s">
        <v>26</v>
      </c>
      <c r="E64" s="172"/>
      <c r="F64" s="1806"/>
      <c r="G64" s="1806"/>
      <c r="H64" s="1808"/>
      <c r="I64" s="129"/>
      <c r="J64" s="3666"/>
      <c r="K64" s="1330" t="s">
        <v>1380</v>
      </c>
      <c r="L64" s="1330">
        <f ca="1">IF(M49&gt;2000,M49*0.5%,IF(AND(M49&gt;1000,M49&lt;=2000),M49*0.6%,IF(AND(M49&gt;500,M49&lt;=1000),M49*0.7%,IF(AND(M49&gt;200,M49&lt;=500),M49*0.8%,IF(AND(M49&gt;100,M49&lt;=200),M49*0.9%,IF(AND(M49&gt;50,M49&lt;=100),M49*1%,IF(AND(M49&gt;20,M49&lt;=50),M49*1.5%,IF(AND(M49&gt;10,M49&lt;=20),M49*2%,IF(AND(M49&gt;1,M49&lt;=10),M49*2.5%)))))))))</f>
        <v>60.04</v>
      </c>
      <c r="M64" s="302">
        <f t="shared" ref="M64:M65" ca="1" si="1">ROUND(L64,1)</f>
        <v>60</v>
      </c>
      <c r="N64" s="2538" t="s">
        <v>1381</v>
      </c>
      <c r="Z64" s="1750"/>
      <c r="AI64" s="1751"/>
    </row>
    <row r="65" spans="1:35" ht="14.25" customHeight="1">
      <c r="A65" s="169" t="s">
        <v>326</v>
      </c>
      <c r="B65" s="170" t="s">
        <v>1382</v>
      </c>
      <c r="C65" s="2560"/>
      <c r="D65" s="170"/>
      <c r="E65" s="172"/>
      <c r="F65" s="1806"/>
      <c r="G65" s="1806"/>
      <c r="H65" s="1808"/>
      <c r="I65" s="129"/>
      <c r="J65" s="3666"/>
      <c r="K65" s="1330" t="s">
        <v>1383</v>
      </c>
      <c r="L65" s="1330">
        <f ca="1">IF(M49&gt;1000,M49*0.1%,IF(AND(M49&gt;500,M49&lt;=1000),M49*0.5%,IF(AND(M49&gt;50,M49&lt;=500),M49*1%,IF(AND(M49&gt;1,M49&lt;=50),M49*1.5%))))</f>
        <v>12.008000000000001</v>
      </c>
      <c r="M65" s="302">
        <f t="shared" ca="1" si="1"/>
        <v>12</v>
      </c>
      <c r="N65" s="2538" t="s">
        <v>1381</v>
      </c>
      <c r="Z65" s="1750"/>
      <c r="AI65" s="1751"/>
    </row>
    <row r="66" spans="1:35" ht="14.25" customHeight="1">
      <c r="A66" s="173" t="s">
        <v>327</v>
      </c>
      <c r="B66" s="174" t="s">
        <v>1384</v>
      </c>
      <c r="C66" s="2561"/>
      <c r="D66" s="174" t="s">
        <v>26</v>
      </c>
      <c r="E66" s="1336" t="s">
        <v>671</v>
      </c>
      <c r="F66" s="1806"/>
      <c r="G66" s="1806"/>
      <c r="H66" s="1808"/>
      <c r="I66" s="129"/>
      <c r="J66" s="3666"/>
      <c r="K66" s="1330" t="s">
        <v>1385</v>
      </c>
      <c r="L66" s="1330">
        <f ca="1">M49*0.5%</f>
        <v>60.04</v>
      </c>
      <c r="M66" s="302">
        <f ca="1">IF(L66&gt;0.5,0.5,ROUND(L66,0))</f>
        <v>0.5</v>
      </c>
      <c r="N66" s="2538" t="s">
        <v>1386</v>
      </c>
      <c r="Z66" s="1750"/>
      <c r="AI66" s="1751"/>
    </row>
    <row r="67" spans="1:35" ht="14.25" customHeight="1">
      <c r="A67" s="173" t="s">
        <v>328</v>
      </c>
      <c r="B67" s="174" t="s">
        <v>1387</v>
      </c>
      <c r="C67" s="2562">
        <f ca="1">C63-C66</f>
        <v>11436</v>
      </c>
      <c r="D67" s="170" t="s">
        <v>26</v>
      </c>
      <c r="E67" s="172"/>
      <c r="F67" s="1806"/>
      <c r="G67" s="1806"/>
      <c r="H67" s="1808"/>
      <c r="I67" s="129"/>
      <c r="J67" s="3666"/>
      <c r="K67" s="1330" t="s">
        <v>1388</v>
      </c>
      <c r="L67" s="1330">
        <f ca="1">IF(M49&gt;=10000,(8.25+(M49-10000)*0.01%),IF(AND(M49&gt;=8000,M49&lt;10000),(7.85+(M49-8000)*0.02%),IF(AND(M49&gt;=5000,M49&lt;8000),(6.65+(M49-5000)*0.04%),IF(AND(M49&gt;=2000,M49&lt;5000),(4.25+(PM49-2000)*0.08%),IF(AND(M49&gt;=1000,M49&lt;2000),(2.75+(M49-1000)*0.15%),IF(AND(M49&gt;=100,M49&lt;1000),(0.5+(M49-100)*0.25%),IF(AND(M49&gt;0,M49&lt;100),M49*0.5%)))))))</f>
        <v>8.4507999999999992</v>
      </c>
      <c r="M67" s="302">
        <f ca="1">ROUND(L67*0.9,1)</f>
        <v>7.6</v>
      </c>
      <c r="N67" s="2537"/>
      <c r="Z67" s="1750"/>
      <c r="AI67" s="1751"/>
    </row>
    <row r="68" spans="1:35" ht="14.25" customHeight="1" thickBot="1">
      <c r="A68" s="176" t="s">
        <v>329</v>
      </c>
      <c r="B68" s="177" t="s">
        <v>1389</v>
      </c>
      <c r="C68" s="2563">
        <f ca="1">IF(C67&lt;=0,0,ROUND(C67*D68,0))</f>
        <v>640</v>
      </c>
      <c r="D68" s="2564">
        <f>'数据-取费表'!B41</f>
        <v>5.6000000000000001E-2</v>
      </c>
      <c r="E68" s="178"/>
      <c r="F68" s="1806"/>
      <c r="G68" s="1806"/>
      <c r="H68" s="1808"/>
      <c r="I68" s="129"/>
      <c r="J68" s="3666"/>
      <c r="K68" s="1330" t="s">
        <v>1390</v>
      </c>
      <c r="L68" s="1330">
        <f ca="1">IF(M49&gt;10000,M49*0.5%,IF(AND(M49&gt;5000,M49&lt;=10000),M49*1%,IF(AND(M49&gt;1000,M49&lt;=5000),M49*2%,IF(AND(M49&gt;200,M49&lt;=1000),M49*3%,M49*5%))))</f>
        <v>60.04</v>
      </c>
      <c r="M68" s="302">
        <f ca="1">ROUND(L68,1)</f>
        <v>60</v>
      </c>
      <c r="N68" s="2537"/>
      <c r="Z68" s="1750"/>
      <c r="AI68" s="1751"/>
    </row>
    <row r="69" spans="1:35" s="1770" customFormat="1" ht="16.5" customHeight="1">
      <c r="A69" s="1809"/>
      <c r="B69" s="1810"/>
      <c r="C69" s="1811"/>
      <c r="D69" s="1812"/>
      <c r="E69" s="1813"/>
      <c r="F69" s="1576"/>
      <c r="G69" s="1576"/>
      <c r="H69" s="1575"/>
      <c r="I69" s="1745"/>
      <c r="J69" s="3666"/>
      <c r="K69" s="1330" t="s">
        <v>1391</v>
      </c>
      <c r="L69" s="1330"/>
      <c r="M69" s="302">
        <f ca="1">ROUND(SUM(M63:M68),0)</f>
        <v>200</v>
      </c>
      <c r="N69" s="2539">
        <f ca="1">M69/M49</f>
        <v>1.6655562958027982E-2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28" t="s">
        <v>1392</v>
      </c>
      <c r="B70" s="3629"/>
      <c r="C70" s="3629"/>
      <c r="D70" s="3629"/>
      <c r="E70" s="3629"/>
      <c r="F70" s="3629"/>
      <c r="G70" s="3629"/>
      <c r="H70" s="3629"/>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8" t="s">
        <v>1373</v>
      </c>
      <c r="B71" s="3609"/>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f ca="1">ROUND(D45/(1+'数据-取费表'!C42),0)</f>
        <v>11436</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f ca="1">C74+C78</f>
        <v>69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03" t="s">
        <v>1400</v>
      </c>
      <c r="F76" s="3577"/>
      <c r="G76" s="3577"/>
      <c r="H76" s="362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f ca="1">ROUND(D45*D78/(1+'数据-取费表'!C42),0)</f>
        <v>69</v>
      </c>
      <c r="D78" s="2571">
        <f>'数据-取费表'!B43</f>
        <v>6.000000000000001E-3</v>
      </c>
      <c r="E78" s="3587" t="s">
        <v>1404</v>
      </c>
      <c r="F78" s="3588"/>
      <c r="G78" s="3588"/>
      <c r="H78" s="359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f ca="1">C72-C73</f>
        <v>11367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f ca="1">IF(C79&lt;=0,0,C79/C73)</f>
        <v>164.7391304347826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f ca="1">ROUND(IF(C79&lt;=0,0,IF(C80&gt;=200%,C79*60%-C73*35%,IF(C80&gt;=100%,C79*50%-C73*15%,IF(C80&gt;=50%,C79*40%-C73*5%,IF(C80&lt;50%,C79*30%,0))))),0)</f>
        <v>6796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8" t="s">
        <v>1408</v>
      </c>
      <c r="B83" s="3629"/>
      <c r="C83" s="3629"/>
      <c r="D83" s="3629"/>
      <c r="E83" s="3629"/>
      <c r="F83" s="3629"/>
      <c r="G83" s="3629"/>
      <c r="H83" s="362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8" t="s">
        <v>1373</v>
      </c>
      <c r="B84" s="3609"/>
      <c r="C84" s="2019"/>
      <c r="D84" s="2019" t="s">
        <v>1374</v>
      </c>
      <c r="E84" s="179" t="s">
        <v>1375</v>
      </c>
      <c r="F84" s="180"/>
      <c r="G84" s="180"/>
      <c r="H84" s="191"/>
      <c r="I84" s="1819"/>
      <c r="J84" s="1816"/>
      <c r="K84" s="1816">
        <f>'数据-基础表'!B3</f>
        <v>3455.7</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f ca="1">ROUND(D45/(1+'数据-取费表'!C42),0)</f>
        <v>11436</v>
      </c>
      <c r="D85" s="170" t="s">
        <v>26</v>
      </c>
      <c r="E85" s="2329"/>
      <c r="F85" s="2328"/>
      <c r="G85" s="2328"/>
      <c r="H85" s="192"/>
      <c r="I85" s="1819"/>
      <c r="J85" s="1816"/>
      <c r="K85" s="2684">
        <v>11899.22</v>
      </c>
      <c r="L85" s="3456">
        <f ca="1">'收益法 (元)'!C19/'收益法 (元)'!F7</f>
        <v>3857.5000723442431</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f ca="1">IF(H88="仅含出让金",C87+C90+C91+C92+C93+C94,C87+C91+C92+C93+C94)</f>
        <v>5525</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2864</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2779</v>
      </c>
      <c r="D88" s="2571"/>
      <c r="E88" s="193" t="s">
        <v>1411</v>
      </c>
      <c r="F88" s="2325"/>
      <c r="G88" s="194" t="s">
        <v>1412</v>
      </c>
      <c r="H88" s="1822" t="s">
        <v>3459</v>
      </c>
      <c r="I88" s="1819"/>
      <c r="J88" s="2515"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85</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668" t="s">
        <v>2124</v>
      </c>
      <c r="H90" s="3669"/>
      <c r="I90" s="1819"/>
      <c r="J90" s="2515"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1333</v>
      </c>
      <c r="D91" s="2571"/>
      <c r="E91" s="3587" t="s">
        <v>1417</v>
      </c>
      <c r="F91" s="3588"/>
      <c r="G91" s="3588"/>
      <c r="H91" s="1823" t="s">
        <v>3460</v>
      </c>
      <c r="I91" s="1824">
        <f ca="1">ROUND(K84*L85/10000,0)</f>
        <v>1333</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420</v>
      </c>
      <c r="D92" s="2577">
        <v>0.1</v>
      </c>
      <c r="E92" s="3587" t="s">
        <v>1420</v>
      </c>
      <c r="F92" s="3588"/>
      <c r="G92" s="3588"/>
      <c r="H92" s="3597"/>
      <c r="I92" s="1819"/>
      <c r="J92" s="2516"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f ca="1">ROUND(D45*D93/(1+'数据-取费表'!C42),0)</f>
        <v>69</v>
      </c>
      <c r="D93" s="2571">
        <f>'数据-取费表'!B43</f>
        <v>6.000000000000001E-3</v>
      </c>
      <c r="E93" s="3587" t="s">
        <v>1404</v>
      </c>
      <c r="F93" s="3588"/>
      <c r="G93" s="3588"/>
      <c r="H93" s="359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839</v>
      </c>
      <c r="D94" s="2571">
        <v>0.2</v>
      </c>
      <c r="E94" s="3598" t="s">
        <v>3500</v>
      </c>
      <c r="F94" s="3599"/>
      <c r="G94" s="3599"/>
      <c r="H94" s="360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f ca="1">ROUND(C85-C86,0)</f>
        <v>5911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f ca="1">IF(C95&lt;=0,0,C95/C86)</f>
        <v>1.0698642533936651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f ca="1">ROUND(IF(C95&lt;=0,0,IF(C96&gt;=200%,C95*60%-C86*35%,IF(C96&gt;=100%,C95*50%-C86*15%,IF(C96&gt;=50%,C95*40%-C86*5%,IF(C96&lt;50%,C95*30%,0))))),0)</f>
        <v>2127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559" t="s">
        <v>1425</v>
      </c>
      <c r="B100" s="3560"/>
      <c r="C100" s="3560"/>
      <c r="D100" s="3589"/>
      <c r="E100" s="3560" t="s">
        <v>1426</v>
      </c>
      <c r="F100" s="3560"/>
      <c r="G100" s="3560"/>
      <c r="H100" s="3589"/>
      <c r="I100" s="129"/>
    </row>
    <row r="101" spans="1:35" ht="18.75" customHeight="1">
      <c r="A101" s="3649" t="s">
        <v>1427</v>
      </c>
      <c r="B101" s="3650"/>
      <c r="C101" s="2579" t="str">
        <f>C4</f>
        <v>比较法-办公</v>
      </c>
      <c r="D101" s="2580" t="str">
        <f>D4</f>
        <v>收益法</v>
      </c>
      <c r="E101" s="3663" t="s">
        <v>1428</v>
      </c>
      <c r="F101" s="3620"/>
      <c r="G101" s="1825" t="s">
        <v>1429</v>
      </c>
      <c r="H101" s="2589">
        <f ca="1">H118</f>
        <v>12008</v>
      </c>
      <c r="I101" s="129"/>
    </row>
    <row r="102" spans="1:35" ht="18.75" customHeight="1">
      <c r="A102" s="3622" t="s">
        <v>1430</v>
      </c>
      <c r="B102" s="2578" t="s">
        <v>1429</v>
      </c>
      <c r="C102" s="2579">
        <f ca="1">IF(D32="楼面单价",ROUND(C19,0),C19)</f>
        <v>12941</v>
      </c>
      <c r="D102" s="2580">
        <f ca="1">IF(D32="楼面单价",ROUND(D19,0),D19)</f>
        <v>9832</v>
      </c>
      <c r="E102" s="3663"/>
      <c r="F102" s="3620"/>
      <c r="G102" s="1825" t="s">
        <v>1431</v>
      </c>
      <c r="H102" s="2549">
        <f ca="1">I118</f>
        <v>34749</v>
      </c>
      <c r="I102" s="129"/>
    </row>
    <row r="103" spans="1:35" ht="42.75" customHeight="1">
      <c r="A103" s="3622"/>
      <c r="B103" s="2578" t="s">
        <v>1431</v>
      </c>
      <c r="C103" s="2581">
        <f ca="1">C20</f>
        <v>37447</v>
      </c>
      <c r="D103" s="2582">
        <f ca="1">D20</f>
        <v>28452</v>
      </c>
      <c r="E103" s="3657" t="s">
        <v>1432</v>
      </c>
      <c r="F103" s="3658"/>
      <c r="G103" s="1826" t="s">
        <v>1433</v>
      </c>
      <c r="H103" s="2589">
        <f>IF(D36="正常操作",H104+H105+H106,H105+H106)</f>
        <v>0</v>
      </c>
      <c r="I103" s="129"/>
    </row>
    <row r="104" spans="1:35" ht="18.75" customHeight="1">
      <c r="A104" s="3622" t="s">
        <v>1434</v>
      </c>
      <c r="B104" s="2583" t="s">
        <v>1429</v>
      </c>
      <c r="C104" s="2584">
        <f ca="1">H118</f>
        <v>12008</v>
      </c>
      <c r="D104" s="2585"/>
      <c r="E104" s="1672" t="s">
        <v>1435</v>
      </c>
      <c r="F104" s="1664"/>
      <c r="G104" s="1826" t="s">
        <v>1433</v>
      </c>
      <c r="H104" s="2590">
        <f>IF(D36="同一抵押权人同一抵押物续贷",C36&amp;"（续贷，未扣减，详见特别提示）",C36)</f>
        <v>0</v>
      </c>
      <c r="I104" s="129"/>
    </row>
    <row r="105" spans="1:35" ht="18.75" customHeight="1" thickBot="1">
      <c r="A105" s="3623"/>
      <c r="B105" s="2586" t="s">
        <v>1431</v>
      </c>
      <c r="C105" s="2587">
        <f ca="1">I118</f>
        <v>34749</v>
      </c>
      <c r="D105" s="2588"/>
      <c r="E105" s="1672" t="s">
        <v>1436</v>
      </c>
      <c r="F105" s="1664"/>
      <c r="G105" s="1826" t="s">
        <v>1433</v>
      </c>
      <c r="H105" s="2591">
        <f>C37</f>
        <v>0</v>
      </c>
      <c r="I105" s="129"/>
    </row>
    <row r="106" spans="1:35" ht="18.75" customHeight="1">
      <c r="A106" s="1745" t="s">
        <v>1437</v>
      </c>
      <c r="B106" s="1745"/>
      <c r="C106" s="1745"/>
      <c r="D106" s="1745"/>
      <c r="E106" s="1827" t="s">
        <v>1438</v>
      </c>
      <c r="F106" s="1664"/>
      <c r="G106" s="1826" t="s">
        <v>1433</v>
      </c>
      <c r="H106" s="2591">
        <f>C38</f>
        <v>0</v>
      </c>
      <c r="I106" s="129"/>
    </row>
    <row r="107" spans="1:35" ht="18.75" customHeight="1">
      <c r="A107" s="129"/>
      <c r="B107" s="129"/>
      <c r="C107" s="129"/>
      <c r="D107" s="129"/>
      <c r="E107" s="3619" t="str">
        <f>IF(项目基本情况!E8="已注销","——","3.房地产抵押价值")</f>
        <v>3.房地产抵押价值</v>
      </c>
      <c r="F107" s="3620"/>
      <c r="G107" s="1825" t="s">
        <v>1429</v>
      </c>
      <c r="H107" s="2589">
        <f ca="1">IF(E107="——","——",H101-H103)</f>
        <v>12008</v>
      </c>
      <c r="I107" s="129"/>
    </row>
    <row r="108" spans="1:35" ht="18.75" customHeight="1">
      <c r="A108" s="129"/>
      <c r="B108" s="129"/>
      <c r="C108" s="129"/>
      <c r="D108" s="129"/>
      <c r="E108" s="3619"/>
      <c r="F108" s="3620"/>
      <c r="G108" s="1825" t="s">
        <v>1431</v>
      </c>
      <c r="H108" s="2549">
        <f ca="1">IF(H107=H101,H102,ROUND(H107*10000/'数据-汇总表'!E3,0))</f>
        <v>34749</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5" t="s">
        <v>1429</v>
      </c>
      <c r="H109" s="2592" t="str">
        <f>IF(E109="——","——",H101-H105-H106)</f>
        <v>——</v>
      </c>
      <c r="I109" s="129"/>
    </row>
    <row r="110" spans="1:35" ht="18.75" customHeight="1">
      <c r="A110" s="129"/>
      <c r="B110" s="129"/>
      <c r="C110" s="129"/>
      <c r="D110" s="129"/>
      <c r="E110" s="3619"/>
      <c r="F110" s="3620"/>
      <c r="G110" s="1825" t="s">
        <v>1431</v>
      </c>
      <c r="H110" s="2549"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4.抵押净值</v>
      </c>
      <c r="F111" s="3621"/>
      <c r="G111" s="1825" t="s">
        <v>1429</v>
      </c>
      <c r="H111" s="2589">
        <f ca="1">IF(E111="——","——",N59)</f>
        <v>9235</v>
      </c>
      <c r="I111" s="129"/>
    </row>
    <row r="112" spans="1:35" ht="18.75" customHeight="1" thickBot="1">
      <c r="A112" s="129"/>
      <c r="B112" s="129"/>
      <c r="C112" s="129"/>
      <c r="D112" s="129"/>
      <c r="E112" s="3652"/>
      <c r="F112" s="3653"/>
      <c r="G112" s="1828" t="s">
        <v>1431</v>
      </c>
      <c r="H112" s="2593">
        <f ca="1">IF(E111="——","——",N61)</f>
        <v>26724</v>
      </c>
      <c r="I112" s="129"/>
    </row>
    <row r="113" spans="1:27" ht="18.75" customHeight="1">
      <c r="A113" s="129"/>
      <c r="B113" s="129"/>
      <c r="C113" s="129"/>
      <c r="D113" s="129"/>
      <c r="E113" s="3624" t="s">
        <v>1437</v>
      </c>
      <c r="F113" s="3624"/>
      <c r="G113" s="3624"/>
      <c r="H113" s="3624"/>
      <c r="I113" s="129"/>
    </row>
    <row r="114" spans="1:27" ht="3.75" customHeight="1">
      <c r="A114" s="1745"/>
      <c r="B114" s="1745"/>
      <c r="C114" s="1745"/>
      <c r="D114" s="1745"/>
      <c r="E114" s="1807"/>
      <c r="F114" s="1807"/>
      <c r="G114" s="1807"/>
      <c r="H114" s="1807"/>
      <c r="I114" s="1745"/>
    </row>
    <row r="115" spans="1:27" ht="18.75" customHeight="1">
      <c r="A115" s="3634" t="s">
        <v>1439</v>
      </c>
      <c r="B115" s="3635"/>
      <c r="C115" s="3635"/>
      <c r="D115" s="3635"/>
      <c r="E115" s="3635"/>
      <c r="F115" s="3635"/>
      <c r="G115" s="3635"/>
      <c r="H115" s="3635"/>
      <c r="I115" s="3636"/>
    </row>
    <row r="116" spans="1:27" ht="27" customHeight="1">
      <c r="A116" s="3591" t="s">
        <v>1440</v>
      </c>
      <c r="B116" s="3625" t="s">
        <v>1441</v>
      </c>
      <c r="C116" s="3625" t="s">
        <v>1442</v>
      </c>
      <c r="D116" s="3638" t="s">
        <v>1443</v>
      </c>
      <c r="E116" s="3639"/>
      <c r="F116" s="3633" t="s">
        <v>1444</v>
      </c>
      <c r="G116" s="3633"/>
      <c r="H116" s="3591" t="s">
        <v>1445</v>
      </c>
      <c r="I116" s="3591"/>
    </row>
    <row r="117" spans="1:27" ht="18.75" customHeight="1">
      <c r="A117" s="3591"/>
      <c r="B117" s="3626"/>
      <c r="C117" s="3626"/>
      <c r="D117" s="2327" t="s">
        <v>1446</v>
      </c>
      <c r="E117" s="2327" t="s">
        <v>1447</v>
      </c>
      <c r="F117" s="2327" t="s">
        <v>1446</v>
      </c>
      <c r="G117" s="2327" t="s">
        <v>1448</v>
      </c>
      <c r="H117" s="2327" t="s">
        <v>1446</v>
      </c>
      <c r="I117" s="2327" t="s">
        <v>1448</v>
      </c>
    </row>
    <row r="118" spans="1:27" ht="24.75" customHeight="1">
      <c r="A118" s="2594" t="str">
        <f>项目基本情况!S2</f>
        <v>北京市朝阳区朝阳门外大街18号房地产</v>
      </c>
      <c r="B118" s="2327">
        <f>M18</f>
        <v>3455.7</v>
      </c>
      <c r="C118" s="2327">
        <f>M19</f>
        <v>396.01</v>
      </c>
      <c r="D118" s="2327">
        <f ca="1">ROUND(IF(D32="总价",C34,E118*B118/10000),0)</f>
        <v>10123</v>
      </c>
      <c r="E118" s="2327">
        <f ca="1">ROUND(IF(C33="自定义",IF(D32="楼面单价",C34,D118*10000/B118),I118-G118),0)</f>
        <v>29293</v>
      </c>
      <c r="F118" s="2327">
        <f ca="1">ROUND(IF(D32="总价",C35,G118*B118/10000),0)</f>
        <v>1885</v>
      </c>
      <c r="G118" s="2327">
        <f ca="1">ROUND(IF(D32="楼面单价",C35,F118*10000/B118),0)</f>
        <v>5456</v>
      </c>
      <c r="H118" s="2327">
        <f ca="1">ROUND(IF(D32="总价",C32,I118*B118/10000),0)</f>
        <v>12008</v>
      </c>
      <c r="I118" s="2327">
        <f ca="1">ROUND(IF(D32="楼面单价",C32,H118*10000/B118),0)</f>
        <v>34749</v>
      </c>
      <c r="J118" s="723">
        <f>[3]结果表!$I$118</f>
        <v>22676</v>
      </c>
    </row>
    <row r="119" spans="1:27" ht="18.75" customHeight="1">
      <c r="A119" s="3591" t="s">
        <v>1449</v>
      </c>
      <c r="B119" s="3591"/>
      <c r="C119" s="3591"/>
      <c r="D119" s="3630" t="str">
        <f ca="1">NUMBERSTRING(INT(D118*10000),2)&amp;"元整"</f>
        <v>壹亿零壹佰贰拾叁万元整</v>
      </c>
      <c r="E119" s="3632"/>
      <c r="F119" s="3630" t="str">
        <f ca="1">NUMBERSTRING(INT(F118*10000),2)&amp;"元整"</f>
        <v>壹仟捌佰捌拾伍万元整</v>
      </c>
      <c r="G119" s="3632"/>
      <c r="H119" s="3630" t="str">
        <f ca="1">NUMBERSTRING(INT(H118*10000),2)&amp;"元整"</f>
        <v>壹亿贰仟零捌万元整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0" t="s">
        <v>1449</v>
      </c>
      <c r="B121" s="3631"/>
      <c r="C121" s="3632"/>
      <c r="D121" s="3630" t="str">
        <f>IF(D120=0,"零元整",NUMBERSTRING(INT(D120*10000),2)&amp;"元整")</f>
        <v>零元整</v>
      </c>
      <c r="E121" s="3631"/>
      <c r="F121" s="3631"/>
      <c r="G121" s="3631"/>
      <c r="H121" s="3631"/>
      <c r="I121" s="3632"/>
      <c r="AA121" s="723"/>
    </row>
    <row r="122" spans="1:27" ht="18.75" customHeight="1">
      <c r="A122" s="3621" t="str">
        <f>IF(项目基本情况!B9="房地产市场价值","",MID(E107,3,LEN(E107)-2))</f>
        <v>房地产抵押价值</v>
      </c>
      <c r="B122" s="3621"/>
      <c r="C122" s="3621"/>
      <c r="D122" s="3654">
        <f ca="1">H107</f>
        <v>12008</v>
      </c>
      <c r="E122" s="3655"/>
      <c r="F122" s="3655"/>
      <c r="G122" s="3655"/>
      <c r="H122" s="3655"/>
      <c r="I122" s="3656"/>
      <c r="AA122" s="723"/>
    </row>
    <row r="123" spans="1:27" ht="18.75" customHeight="1">
      <c r="A123" s="3591" t="s">
        <v>1449</v>
      </c>
      <c r="B123" s="3591"/>
      <c r="C123" s="3591"/>
      <c r="D123" s="3630" t="str">
        <f ca="1">NUMBERSTRING(INT(D122*10000),2)&amp;"元整"</f>
        <v>壹亿贰仟零捌万元整</v>
      </c>
      <c r="E123" s="3631"/>
      <c r="F123" s="3631"/>
      <c r="G123" s="3631"/>
      <c r="H123" s="3631"/>
      <c r="I123" s="3632"/>
      <c r="AA123" s="723"/>
    </row>
    <row r="124" spans="1:27" ht="18.75" customHeight="1">
      <c r="A124" s="3621" t="str">
        <f>IF(项目基本情况!B9="房地产市场价值","",MID(E109,3,LEN(E109)-2))</f>
        <v/>
      </c>
      <c r="B124" s="3621"/>
      <c r="C124" s="3621"/>
      <c r="D124" s="3654" t="str">
        <f>H109</f>
        <v>——</v>
      </c>
      <c r="E124" s="3655"/>
      <c r="F124" s="3655"/>
      <c r="G124" s="3655"/>
      <c r="H124" s="3655"/>
      <c r="I124" s="3656"/>
      <c r="AA124" s="723"/>
    </row>
    <row r="125" spans="1:27" ht="18.75" customHeight="1">
      <c r="A125" s="3591" t="s">
        <v>1449</v>
      </c>
      <c r="B125" s="3591"/>
      <c r="C125" s="3591"/>
      <c r="D125" s="3630" t="e">
        <f>NUMBERSTRING(INT(D124*10000),2)&amp;"元整"</f>
        <v>#VALUE!</v>
      </c>
      <c r="E125" s="3631"/>
      <c r="F125" s="3631"/>
      <c r="G125" s="3631"/>
      <c r="H125" s="3631"/>
      <c r="I125" s="3632"/>
      <c r="AA125" s="723"/>
    </row>
    <row r="126" spans="1:27" ht="18.75" customHeight="1">
      <c r="A126" s="3621" t="str">
        <f>IF(项目基本情况!B9="房地产市场价值","",MID(E111,3,LEN(E111)-2))</f>
        <v>抵押净值</v>
      </c>
      <c r="B126" s="3621"/>
      <c r="C126" s="3621"/>
      <c r="D126" s="3654">
        <f ca="1">H111</f>
        <v>9235</v>
      </c>
      <c r="E126" s="3655"/>
      <c r="F126" s="3655"/>
      <c r="G126" s="3655"/>
      <c r="H126" s="3655"/>
      <c r="I126" s="3656"/>
      <c r="AA126" s="723"/>
    </row>
    <row r="127" spans="1:27" ht="18.75" customHeight="1">
      <c r="A127" s="3591" t="s">
        <v>1449</v>
      </c>
      <c r="B127" s="3591"/>
      <c r="C127" s="3591"/>
      <c r="D127" s="3630" t="str">
        <f ca="1">NUMBERSTRING(INT(D126*10000),2)&amp;"元整"</f>
        <v>玖仟贰佰叁拾伍万元整</v>
      </c>
      <c r="E127" s="3631"/>
      <c r="F127" s="3631"/>
      <c r="G127" s="3631"/>
      <c r="H127" s="3631"/>
      <c r="I127" s="3632"/>
      <c r="AA127" s="723"/>
    </row>
    <row r="128" spans="1:27" ht="21.75" customHeight="1">
      <c r="A128" s="3637" t="s">
        <v>1450</v>
      </c>
      <c r="B128" s="3637"/>
      <c r="C128" s="3637"/>
      <c r="D128" s="3637"/>
      <c r="E128" s="3637"/>
      <c r="F128" s="3637"/>
      <c r="G128" s="3637"/>
      <c r="H128" s="3637"/>
      <c r="I128" s="3637"/>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北京市朝阳区朝阳门外大街18号房地产抵押价值预评估</v>
      </c>
      <c r="C37" s="3476"/>
      <c r="D37" s="3476"/>
      <c r="E37" s="3476"/>
      <c r="F37" s="3476"/>
      <c r="G37" s="3476"/>
      <c r="H37" s="3476"/>
      <c r="I37" s="347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c r="C1" s="198"/>
      <c r="D1" s="198"/>
      <c r="E1" s="198"/>
      <c r="F1" s="198"/>
      <c r="G1" s="1124">
        <f>MATCH(B1,'数据-取费表'!A6:A16,0)+5</f>
        <v>7</v>
      </c>
    </row>
    <row r="2" spans="1:9" s="200" customFormat="1" ht="18" customHeight="1">
      <c r="A2" s="201" t="s">
        <v>1459</v>
      </c>
      <c r="B2" s="202">
        <f ca="1">IF(D2="——",C52,C52-E2)</f>
        <v>1400</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4051</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69</v>
      </c>
      <c r="D5" s="211" t="s">
        <v>1466</v>
      </c>
      <c r="E5" s="212" t="s">
        <v>1467</v>
      </c>
      <c r="F5" s="212" t="s">
        <v>1468</v>
      </c>
      <c r="G5" s="213"/>
    </row>
    <row r="6" spans="1:9" s="214" customFormat="1" ht="13.5" customHeight="1">
      <c r="A6" s="776" t="s">
        <v>1469</v>
      </c>
      <c r="B6" s="215" t="s">
        <v>1470</v>
      </c>
      <c r="C6" s="216"/>
      <c r="D6" s="217"/>
      <c r="E6" s="218"/>
      <c r="F6" s="218"/>
      <c r="G6" s="219"/>
    </row>
    <row r="7" spans="1:9" s="214" customFormat="1" ht="13.5" customHeight="1">
      <c r="A7" s="776" t="s">
        <v>1471</v>
      </c>
      <c r="B7" s="215" t="s">
        <v>1472</v>
      </c>
      <c r="C7" s="220">
        <f>ROUND(C6*F7,0)</f>
        <v>0</v>
      </c>
      <c r="D7" s="220"/>
      <c r="E7" s="218"/>
      <c r="F7" s="221">
        <f>IF(项目基本情况!B8="出让",0,'数据-取费表'!B48+'数据-取费表'!B49)</f>
        <v>3.0499999999999999E-2</v>
      </c>
      <c r="G7" s="219"/>
    </row>
    <row r="8" spans="1:9" s="223" customFormat="1">
      <c r="A8" s="776" t="s">
        <v>1473</v>
      </c>
      <c r="B8" s="215" t="s">
        <v>1474</v>
      </c>
      <c r="C8" s="220">
        <f>IF(G8="已包含在土地购买价格中","0",IF(B1="",'数据-取费表'!B29,IF(G9="全部缴纳",C9+C10,H9)))</f>
        <v>69</v>
      </c>
      <c r="D8" s="222"/>
      <c r="E8" s="220"/>
      <c r="F8" s="221"/>
      <c r="G8" s="1854"/>
    </row>
    <row r="9" spans="1:9" s="214" customFormat="1" ht="13.5" customHeight="1">
      <c r="A9" s="777" t="s">
        <v>355</v>
      </c>
      <c r="B9" s="224" t="s">
        <v>1475</v>
      </c>
      <c r="C9" s="225">
        <f ca="1">ROUND(D9*E9/10000,0)</f>
        <v>0</v>
      </c>
      <c r="D9" s="843">
        <f ca="1">IF(B1="",'数据-汇总表'!E5,IF(INDIRECT("'数据-取费表'!c"&amp;$G$1)="住宅",INDIRECT("'数据-取费表'!k"&amp;$G$1),0))</f>
        <v>0</v>
      </c>
      <c r="E9" s="225">
        <f>'数据-取费表'!B27</f>
        <v>160</v>
      </c>
      <c r="F9" s="221"/>
      <c r="G9" s="1855"/>
      <c r="H9" s="1135"/>
      <c r="I9" s="1856" t="s">
        <v>1476</v>
      </c>
    </row>
    <row r="10" spans="1:9" s="214" customFormat="1" ht="13.5" customHeight="1">
      <c r="A10" s="777" t="s">
        <v>356</v>
      </c>
      <c r="B10" s="224" t="s">
        <v>1477</v>
      </c>
      <c r="C10" s="225">
        <f ca="1">ROUND(D10*E10/10000,0)</f>
        <v>69</v>
      </c>
      <c r="D10" s="843">
        <f ca="1">IF(B1="",'数据-汇总表'!E6,IF(INDIRECT("'数据-取费表'!c"&amp;$G$1)="住宅",INDIRECT("'数据-取费表'!s"&amp;$G$1),INDIRECT("'数据-取费表'!k"&amp;$G$1)+INDIRECT("'数据-取费表'!s"&amp;$G$1)))</f>
        <v>3455.7</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69</v>
      </c>
      <c r="D19" s="847">
        <f ca="1">D9+D10</f>
        <v>3455.7</v>
      </c>
      <c r="E19" s="211">
        <f>'数据-取费表'!B31</f>
        <v>200</v>
      </c>
      <c r="F19" s="231"/>
      <c r="G19" s="1854"/>
    </row>
    <row r="20" spans="1:7" s="214" customFormat="1" ht="13.5" customHeight="1">
      <c r="A20" s="255" t="s">
        <v>1490</v>
      </c>
      <c r="B20" s="210" t="s">
        <v>1491</v>
      </c>
      <c r="C20" s="232">
        <f ca="1">ROUND((C5+C19)*F20,0)</f>
        <v>2</v>
      </c>
      <c r="D20" s="232"/>
      <c r="E20" s="232"/>
      <c r="F20" s="233">
        <f>'数据-取费表'!B37</f>
        <v>1.4999999999999999E-2</v>
      </c>
      <c r="G20" s="234" t="s">
        <v>1492</v>
      </c>
    </row>
    <row r="21" spans="1:7" s="214" customFormat="1" ht="13.5" customHeight="1">
      <c r="A21" s="255" t="s">
        <v>1493</v>
      </c>
      <c r="B21" s="210" t="s">
        <v>1494</v>
      </c>
      <c r="C21" s="235">
        <f>F21</f>
        <v>1.4999999999999999E-2</v>
      </c>
      <c r="D21" s="236" t="s">
        <v>1495</v>
      </c>
      <c r="E21" s="232"/>
      <c r="F21" s="233">
        <f>'数据-取费表'!B38</f>
        <v>1.4999999999999999E-2</v>
      </c>
      <c r="G21" s="234" t="s">
        <v>1496</v>
      </c>
    </row>
    <row r="22" spans="1:7" s="214" customFormat="1" ht="13.5" customHeight="1">
      <c r="A22" s="255" t="s">
        <v>1497</v>
      </c>
      <c r="B22" s="210" t="s">
        <v>1498</v>
      </c>
      <c r="C22" s="1102">
        <f ca="1">ROUND(SUM(C23:C25),0)</f>
        <v>12</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6</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6</v>
      </c>
      <c r="D24" s="238"/>
      <c r="E24" s="238"/>
      <c r="F24" s="239"/>
      <c r="G24" s="240" t="s">
        <v>1504</v>
      </c>
    </row>
    <row r="25" spans="1:7" s="214" customFormat="1" ht="24">
      <c r="A25" s="778" t="s">
        <v>1505</v>
      </c>
      <c r="B25" s="215" t="s">
        <v>1506</v>
      </c>
      <c r="C25" s="1103">
        <f ca="1">ROUND(IF('数据-取费表'!B22&lt;=1,C20*F22*'数据-取费表'!B23/2,C20*(POWER((1+F22),'数据-取费表'!B23/2)-1)),0)</f>
        <v>0</v>
      </c>
      <c r="D25" s="238"/>
      <c r="E25" s="241"/>
      <c r="F25" s="239"/>
      <c r="G25" s="242" t="s">
        <v>1507</v>
      </c>
    </row>
    <row r="26" spans="1:7" s="214" customFormat="1">
      <c r="A26" s="778"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21</v>
      </c>
      <c r="D27" s="235">
        <f ca="1">C29</f>
        <v>2.3E-3</v>
      </c>
      <c r="E27" s="236" t="s">
        <v>1511</v>
      </c>
      <c r="F27" s="246">
        <f ca="1">IF(B1="",'数据-取费表'!Q16,INDIRECT("'数据-取费表'!q"&amp;$G$1))</f>
        <v>0.15</v>
      </c>
      <c r="G27" s="247" t="s">
        <v>1512</v>
      </c>
    </row>
    <row r="28" spans="1:7" s="214" customFormat="1" ht="13.5" customHeight="1">
      <c r="A28" s="778" t="s">
        <v>346</v>
      </c>
      <c r="B28" s="248" t="s">
        <v>1513</v>
      </c>
      <c r="C28" s="249">
        <f ca="1">ROUND((C5+C19+C20)*F27*'数据-取费表'!B21/'数据-取费表'!B20,0)</f>
        <v>21</v>
      </c>
      <c r="D28" s="235"/>
      <c r="E28" s="236"/>
      <c r="F28" s="246"/>
      <c r="G28" s="247"/>
    </row>
    <row r="29" spans="1:7" s="214" customFormat="1" ht="13.5" customHeight="1">
      <c r="A29" s="778" t="s">
        <v>347</v>
      </c>
      <c r="B29" s="248" t="s">
        <v>1514</v>
      </c>
      <c r="C29" s="238">
        <f ca="1">ROUND(C21*F27*'数据-取费表'!B21/'数据-取费表'!B20,4)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186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1332</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1209</v>
      </c>
      <c r="D34" s="217"/>
      <c r="E34" s="220"/>
      <c r="F34" s="257">
        <f ca="1">IF('数据-取费表'!B24=0,1,IF(B1="",'数据-取费表'!N16,INDIRECT("'数据-取费表'!n"&amp;$G$1)))</f>
        <v>1</v>
      </c>
      <c r="G34" s="219" t="s">
        <v>1523</v>
      </c>
    </row>
    <row r="35" spans="1:7" ht="13.5" customHeight="1">
      <c r="A35" s="778" t="s">
        <v>351</v>
      </c>
      <c r="B35" s="215" t="s">
        <v>1524</v>
      </c>
      <c r="C35" s="220">
        <f ca="1">ROUND(C34*F35,0)</f>
        <v>36</v>
      </c>
      <c r="D35" s="220"/>
      <c r="E35" s="220"/>
      <c r="F35" s="259">
        <f>'数据-取费表'!B33</f>
        <v>0.03</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69</v>
      </c>
      <c r="D37" s="217">
        <f ca="1">D19</f>
        <v>3455.7</v>
      </c>
      <c r="E37" s="249">
        <f>'数据-取费表'!B35</f>
        <v>200</v>
      </c>
      <c r="F37" s="259"/>
      <c r="G37" s="261" t="s">
        <v>1529</v>
      </c>
    </row>
    <row r="38" spans="1:7" ht="13.5" customHeight="1">
      <c r="A38" s="778" t="s">
        <v>354</v>
      </c>
      <c r="B38" s="215" t="s">
        <v>1530</v>
      </c>
      <c r="C38" s="220">
        <f ca="1">ROUND(C34*F38,0)</f>
        <v>18</v>
      </c>
      <c r="D38" s="220"/>
      <c r="E38" s="220"/>
      <c r="F38" s="259">
        <f>'数据-取费表'!B36</f>
        <v>1.4999999999999999E-2</v>
      </c>
      <c r="G38" s="219" t="s">
        <v>1525</v>
      </c>
    </row>
    <row r="39" spans="1:7" s="214" customFormat="1" ht="13.5" customHeight="1">
      <c r="A39" s="255" t="s">
        <v>1531</v>
      </c>
      <c r="B39" s="210" t="s">
        <v>1532</v>
      </c>
      <c r="C39" s="232">
        <f ca="1">ROUND(C33*F20,0)</f>
        <v>20</v>
      </c>
      <c r="D39" s="232"/>
      <c r="E39" s="232"/>
      <c r="F39" s="233">
        <f>F20</f>
        <v>1.4999999999999999E-2</v>
      </c>
      <c r="G39" s="234" t="s">
        <v>1533</v>
      </c>
    </row>
    <row r="40" spans="1:7" s="214" customFormat="1" ht="13.5" customHeight="1">
      <c r="A40" s="255" t="s">
        <v>1534</v>
      </c>
      <c r="B40" s="210" t="s">
        <v>1535</v>
      </c>
      <c r="C40" s="1325">
        <f>F21</f>
        <v>1.4999999999999999E-2</v>
      </c>
      <c r="D40" s="236" t="s">
        <v>1536</v>
      </c>
      <c r="E40" s="232"/>
      <c r="F40" s="233">
        <f>F21</f>
        <v>1.4999999999999999E-2</v>
      </c>
      <c r="G40" s="234" t="s">
        <v>1537</v>
      </c>
    </row>
    <row r="41" spans="1:7" s="214" customFormat="1" ht="13.5" customHeight="1">
      <c r="A41" s="255" t="s">
        <v>1538</v>
      </c>
      <c r="B41" s="210" t="s">
        <v>1539</v>
      </c>
      <c r="C41" s="232">
        <f ca="1">ROUND(SUM(C42:C43),0)</f>
        <v>56</v>
      </c>
      <c r="D41" s="235">
        <f ca="1">C44</f>
        <v>5.9999999999999995E-4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55</v>
      </c>
      <c r="D42" s="238"/>
      <c r="E42" s="238"/>
      <c r="F42" s="239"/>
      <c r="G42" s="3670" t="s">
        <v>1541</v>
      </c>
    </row>
    <row r="43" spans="1:7" ht="13.5" customHeight="1">
      <c r="A43" s="778" t="s">
        <v>347</v>
      </c>
      <c r="B43" s="215" t="s">
        <v>1542</v>
      </c>
      <c r="C43" s="238">
        <f ca="1">ROUND(IF('数据-取费表'!B22&lt;=1,C39*F22*'数据-取费表'!B21/2,C39*(POWER((1+F22),'数据-取费表'!B21/2)-1)),0)</f>
        <v>1</v>
      </c>
      <c r="D43" s="238"/>
      <c r="E43" s="238"/>
      <c r="F43" s="239"/>
      <c r="G43" s="3671"/>
    </row>
    <row r="44" spans="1:7" ht="13.5" customHeight="1">
      <c r="A44" s="778" t="s">
        <v>348</v>
      </c>
      <c r="B44" s="215" t="s">
        <v>1543</v>
      </c>
      <c r="C44" s="238">
        <f ca="1">ROUND(IF('数据-取费表'!B22&lt;=1,C40*F22*'数据-取费表'!B21/2,C40*(POWER((1+F22),'数据-取费表'!B21/2)-1)),4)</f>
        <v>5.9999999999999995E-4</v>
      </c>
      <c r="D44" s="238"/>
      <c r="E44" s="238"/>
      <c r="F44" s="239"/>
      <c r="G44" s="3672"/>
    </row>
    <row r="45" spans="1:7" s="214" customFormat="1" ht="13.5" customHeight="1">
      <c r="A45" s="255" t="s">
        <v>1544</v>
      </c>
      <c r="B45" s="244" t="s">
        <v>1510</v>
      </c>
      <c r="C45" s="245">
        <f ca="1">C46</f>
        <v>203</v>
      </c>
      <c r="D45" s="235">
        <f ca="1">C47</f>
        <v>2.3E-3</v>
      </c>
      <c r="E45" s="236" t="s">
        <v>1536</v>
      </c>
      <c r="F45" s="246">
        <f ca="1">F27</f>
        <v>0.15</v>
      </c>
      <c r="G45" s="247" t="s">
        <v>1545</v>
      </c>
    </row>
    <row r="46" spans="1:7" s="214" customFormat="1" ht="13.5" customHeight="1">
      <c r="A46" s="778" t="s">
        <v>346</v>
      </c>
      <c r="B46" s="248" t="s">
        <v>1546</v>
      </c>
      <c r="C46" s="249">
        <f ca="1">ROUND((C33+C39)*F27,0)</f>
        <v>203</v>
      </c>
      <c r="D46" s="263"/>
      <c r="E46" s="236"/>
      <c r="F46" s="246"/>
      <c r="G46" s="247"/>
    </row>
    <row r="47" spans="1:7" s="214" customFormat="1" ht="13.5" customHeight="1">
      <c r="A47" s="778" t="s">
        <v>347</v>
      </c>
      <c r="B47" s="248" t="s">
        <v>1547</v>
      </c>
      <c r="C47" s="238">
        <f ca="1">ROUND(C40*F27,4)</f>
        <v>2.3E-3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1734</v>
      </c>
      <c r="D49" s="232"/>
      <c r="E49" s="232"/>
      <c r="F49" s="264"/>
      <c r="G49" s="234" t="s">
        <v>1551</v>
      </c>
    </row>
    <row r="50" spans="1:7" s="258" customFormat="1" ht="24">
      <c r="A50" s="255" t="s">
        <v>1552</v>
      </c>
      <c r="B50" s="210" t="s">
        <v>1553</v>
      </c>
      <c r="C50" s="232"/>
      <c r="D50" s="232"/>
      <c r="E50" s="232"/>
      <c r="F50" s="264">
        <f>IF('数据-取费表'!B24=0,'数据-取费表'!N16,1)</f>
        <v>0.7</v>
      </c>
      <c r="G50" s="247" t="s">
        <v>1554</v>
      </c>
    </row>
    <row r="51" spans="1:7" ht="16.5" customHeight="1">
      <c r="A51" s="255" t="s">
        <v>1555</v>
      </c>
      <c r="B51" s="210" t="s">
        <v>1556</v>
      </c>
      <c r="C51" s="232">
        <f ca="1">ROUND(C49*F50,0)</f>
        <v>1214</v>
      </c>
      <c r="D51" s="232"/>
      <c r="E51" s="232"/>
      <c r="F51" s="264"/>
      <c r="G51" s="234" t="s">
        <v>1557</v>
      </c>
    </row>
    <row r="52" spans="1:7" s="208" customFormat="1" ht="16.5" thickBot="1">
      <c r="A52" s="265" t="s">
        <v>1558</v>
      </c>
      <c r="B52" s="266"/>
      <c r="C52" s="267">
        <f ca="1">C31+C51</f>
        <v>1400</v>
      </c>
      <c r="D52" s="266"/>
      <c r="E52" s="266"/>
      <c r="F52" s="266"/>
      <c r="G52" s="268"/>
    </row>
    <row r="55" spans="1:7" ht="15">
      <c r="B55" s="270" t="s">
        <v>1559</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7" t="s">
        <v>1560</v>
      </c>
      <c r="D1" s="198"/>
      <c r="E1" s="198"/>
      <c r="F1" s="198"/>
      <c r="G1" s="1124">
        <f>MATCH(B1,'数据-取费表'!A6:A16,0)+5</f>
        <v>7</v>
      </c>
      <c r="H1" s="1059" t="str">
        <f>IF(ISERROR(FIND("住宅",B1)),"非住宅","住宅")</f>
        <v>非住宅</v>
      </c>
    </row>
    <row r="2" spans="1:8" s="200" customFormat="1" ht="18" customHeight="1">
      <c r="A2" s="201" t="s">
        <v>1459</v>
      </c>
      <c r="B2" s="3419">
        <f ca="1">ROUND(IF(D2="——",C52/10000,C52/10000-E2),4)</f>
        <v>1401.421</v>
      </c>
      <c r="C2" s="199" t="s">
        <v>1460</v>
      </c>
      <c r="D2" s="1851" t="s">
        <v>43</v>
      </c>
      <c r="E2" s="1167" t="e">
        <f ca="1">SUMIF(INDIRECT("'"&amp;G2&amp;"'"&amp;"!A:A"),"承租人权益价值",INDIRECT("'"&amp;G2&amp;"'"&amp;"!c:c"))</f>
        <v>#REF!</v>
      </c>
      <c r="F2" s="1852" t="s">
        <v>1460</v>
      </c>
      <c r="G2" s="1853"/>
    </row>
    <row r="3" spans="1:8" s="200" customFormat="1" ht="18" customHeight="1" thickBot="1">
      <c r="A3" s="203" t="s">
        <v>1461</v>
      </c>
      <c r="B3" s="204">
        <f ca="1">ROUND(B2*10000/(IF(B1="",'数据-汇总表'!E3,INDIRECT("'数据-取费表'!k"&amp;$G$1))),0)</f>
        <v>4055</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691140</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691140</v>
      </c>
      <c r="D8" s="222"/>
      <c r="E8" s="220"/>
      <c r="F8" s="221"/>
      <c r="G8" s="1854"/>
    </row>
    <row r="9" spans="1:8" s="214" customFormat="1" ht="13.5" customHeight="1">
      <c r="A9" s="777" t="s">
        <v>355</v>
      </c>
      <c r="B9" s="224" t="s">
        <v>1475</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1477</v>
      </c>
      <c r="C10" s="225">
        <f ca="1">ROUND(D10*E10,0)</f>
        <v>691140</v>
      </c>
      <c r="D10" s="843">
        <f ca="1">IF(B1="",'数据-汇总表'!E6,IF(INDIRECT("'数据-取费表'!c"&amp;$G$1)="住宅",INDIRECT("'数据-取费表'!s"&amp;$G$1),INDIRECT("'数据-取费表'!k"&amp;$G$1)+INDIRECT("'数据-取费表'!s"&amp;$G$1)))</f>
        <v>3455.7</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691140</v>
      </c>
      <c r="D19" s="847">
        <f ca="1">D9+D10</f>
        <v>3455.7</v>
      </c>
      <c r="E19" s="211">
        <f>'数据-取费表'!B31</f>
        <v>200</v>
      </c>
      <c r="F19" s="231"/>
      <c r="G19" s="1854"/>
    </row>
    <row r="20" spans="1:7" s="214" customFormat="1" ht="13.5" customHeight="1">
      <c r="A20" s="255" t="s">
        <v>1571</v>
      </c>
      <c r="B20" s="210" t="s">
        <v>1572</v>
      </c>
      <c r="C20" s="232">
        <f ca="1">ROUND((C5+C19)*F20,0)</f>
        <v>20734</v>
      </c>
      <c r="D20" s="232"/>
      <c r="E20" s="232"/>
      <c r="F20" s="233">
        <f>'数据-取费表'!B37</f>
        <v>1.4999999999999999E-2</v>
      </c>
      <c r="G20" s="234" t="s">
        <v>1573</v>
      </c>
    </row>
    <row r="21" spans="1:7" s="214" customFormat="1" ht="13.5" customHeight="1">
      <c r="A21" s="255" t="s">
        <v>1574</v>
      </c>
      <c r="B21" s="210" t="s">
        <v>1575</v>
      </c>
      <c r="C21" s="235">
        <f>F21</f>
        <v>1.4999999999999999E-2</v>
      </c>
      <c r="D21" s="236" t="s">
        <v>1576</v>
      </c>
      <c r="E21" s="232"/>
      <c r="F21" s="233">
        <f>'数据-取费表'!B38</f>
        <v>1.4999999999999999E-2</v>
      </c>
      <c r="G21" s="234" t="s">
        <v>1577</v>
      </c>
    </row>
    <row r="22" spans="1:7" s="214" customFormat="1" ht="13.5" customHeight="1">
      <c r="A22" s="255" t="s">
        <v>1578</v>
      </c>
      <c r="B22" s="210" t="s">
        <v>1579</v>
      </c>
      <c r="C22" s="1125">
        <f ca="1">ROUND(SUM(C23:C25),0)</f>
        <v>117970</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58555</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58555</v>
      </c>
      <c r="D24" s="238"/>
      <c r="E24" s="238"/>
      <c r="F24" s="239"/>
      <c r="G24" s="240" t="s">
        <v>1583</v>
      </c>
    </row>
    <row r="25" spans="1:7" s="214" customFormat="1" ht="24">
      <c r="A25" s="778" t="s">
        <v>1473</v>
      </c>
      <c r="B25" s="215" t="s">
        <v>1584</v>
      </c>
      <c r="C25" s="1126">
        <f ca="1">ROUND(IF('数据-取费表'!B22&lt;=1,C20*F22*'数据-取费表'!B22/2,C20*(POWER((1+F22),'数据-取费表'!B22/2)-1)),0)</f>
        <v>860</v>
      </c>
      <c r="D25" s="238"/>
      <c r="E25" s="241"/>
      <c r="F25" s="239"/>
      <c r="G25" s="242" t="s">
        <v>1585</v>
      </c>
    </row>
    <row r="26" spans="1:7" s="214" customFormat="1">
      <c r="A26" s="778"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210452</v>
      </c>
      <c r="D27" s="235">
        <f ca="1">C29</f>
        <v>2.3E-3</v>
      </c>
      <c r="E27" s="236" t="s">
        <v>1511</v>
      </c>
      <c r="F27" s="246">
        <f ca="1">IF(B1="",'数据-取费表'!Q16,INDIRECT("'数据-取费表'!q"&amp;$G$1))</f>
        <v>0.15</v>
      </c>
      <c r="G27" s="247" t="s">
        <v>1512</v>
      </c>
    </row>
    <row r="28" spans="1:7" s="214" customFormat="1" ht="13.5" customHeight="1">
      <c r="A28" s="778" t="s">
        <v>346</v>
      </c>
      <c r="B28" s="248" t="s">
        <v>1513</v>
      </c>
      <c r="C28" s="249">
        <f ca="1">ROUND((C5+C19+C20)*F27,0)</f>
        <v>210452</v>
      </c>
      <c r="D28" s="235"/>
      <c r="E28" s="236"/>
      <c r="F28" s="246"/>
      <c r="G28" s="247"/>
    </row>
    <row r="29" spans="1:7" s="214" customFormat="1" ht="13.5" customHeight="1">
      <c r="A29" s="778" t="s">
        <v>347</v>
      </c>
      <c r="B29" s="248" t="s">
        <v>1514</v>
      </c>
      <c r="C29" s="238">
        <f ca="1">ROUND(C21*F27,4)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1864165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13330363</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12094950</v>
      </c>
      <c r="D34" s="217"/>
      <c r="E34" s="220"/>
      <c r="F34" s="257"/>
      <c r="G34" s="219"/>
    </row>
    <row r="35" spans="1:7" ht="13.5" customHeight="1">
      <c r="A35" s="778" t="s">
        <v>351</v>
      </c>
      <c r="B35" s="215" t="s">
        <v>1524</v>
      </c>
      <c r="C35" s="220">
        <f ca="1">ROUND(C34*F35,0)</f>
        <v>362849</v>
      </c>
      <c r="D35" s="220"/>
      <c r="E35" s="220"/>
      <c r="F35" s="259">
        <f>'数据-取费表'!B33</f>
        <v>0.03</v>
      </c>
      <c r="G35" s="219" t="s">
        <v>1525</v>
      </c>
    </row>
    <row r="36" spans="1:7" ht="24">
      <c r="A36" s="778"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8" t="s">
        <v>353</v>
      </c>
      <c r="B37" s="215" t="s">
        <v>1528</v>
      </c>
      <c r="C37" s="249">
        <f ca="1">ROUND(E37*D37,0)</f>
        <v>691140</v>
      </c>
      <c r="D37" s="217">
        <f ca="1">D19</f>
        <v>3455.7</v>
      </c>
      <c r="E37" s="249">
        <f>'数据-取费表'!B35</f>
        <v>200</v>
      </c>
      <c r="F37" s="259"/>
      <c r="G37" s="261"/>
    </row>
    <row r="38" spans="1:7" ht="13.5" customHeight="1">
      <c r="A38" s="778" t="s">
        <v>354</v>
      </c>
      <c r="B38" s="215" t="s">
        <v>1530</v>
      </c>
      <c r="C38" s="220">
        <f ca="1">ROUND(C34*F38,0)</f>
        <v>181424</v>
      </c>
      <c r="D38" s="220"/>
      <c r="E38" s="220"/>
      <c r="F38" s="259">
        <f>'数据-取费表'!B36</f>
        <v>1.4999999999999999E-2</v>
      </c>
      <c r="G38" s="219" t="s">
        <v>1525</v>
      </c>
    </row>
    <row r="39" spans="1:7" s="214" customFormat="1" ht="13.5" customHeight="1">
      <c r="A39" s="255" t="s">
        <v>1531</v>
      </c>
      <c r="B39" s="210" t="s">
        <v>1532</v>
      </c>
      <c r="C39" s="232">
        <f ca="1">ROUND(C33*F20,0)</f>
        <v>199955</v>
      </c>
      <c r="D39" s="232"/>
      <c r="E39" s="232"/>
      <c r="F39" s="233">
        <f>F20</f>
        <v>1.4999999999999999E-2</v>
      </c>
      <c r="G39" s="234" t="s">
        <v>1533</v>
      </c>
    </row>
    <row r="40" spans="1:7" s="214" customFormat="1" ht="13.5" customHeight="1">
      <c r="A40" s="255" t="s">
        <v>1534</v>
      </c>
      <c r="B40" s="210" t="s">
        <v>1535</v>
      </c>
      <c r="C40" s="1325">
        <f>F21</f>
        <v>1.4999999999999999E-2</v>
      </c>
      <c r="D40" s="236" t="s">
        <v>1536</v>
      </c>
      <c r="E40" s="232"/>
      <c r="F40" s="233">
        <f>F21</f>
        <v>1.4999999999999999E-2</v>
      </c>
      <c r="G40" s="234" t="s">
        <v>1537</v>
      </c>
    </row>
    <row r="41" spans="1:7" s="214" customFormat="1" ht="13.5" customHeight="1">
      <c r="A41" s="255" t="s">
        <v>1538</v>
      </c>
      <c r="B41" s="210" t="s">
        <v>1539</v>
      </c>
      <c r="C41" s="232">
        <f ca="1">ROUND(SUM(C42:C43),0)</f>
        <v>561508</v>
      </c>
      <c r="D41" s="235">
        <f ca="1">C44</f>
        <v>5.9999999999999995E-4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553210</v>
      </c>
      <c r="D42" s="238"/>
      <c r="E42" s="238"/>
      <c r="F42" s="239"/>
      <c r="G42" s="3670" t="s">
        <v>1588</v>
      </c>
    </row>
    <row r="43" spans="1:7" ht="13.5" customHeight="1">
      <c r="A43" s="778" t="s">
        <v>347</v>
      </c>
      <c r="B43" s="215" t="s">
        <v>1542</v>
      </c>
      <c r="C43" s="238">
        <f ca="1">ROUND(IF('数据-取费表'!B22&lt;=1,C39*F22*'数据-取费表'!B20/2,C39*(POWER((1+F22),'数据-取费表'!B20/2)-1)),0)</f>
        <v>8298</v>
      </c>
      <c r="D43" s="238"/>
      <c r="E43" s="238"/>
      <c r="F43" s="239"/>
      <c r="G43" s="3671"/>
    </row>
    <row r="44" spans="1:7" ht="13.5" customHeight="1">
      <c r="A44" s="778" t="s">
        <v>348</v>
      </c>
      <c r="B44" s="215" t="s">
        <v>1543</v>
      </c>
      <c r="C44" s="238">
        <f ca="1">ROUND(IF('数据-取费表'!B22&lt;=1,C40*F22*'数据-取费表'!B20/2,C40*(POWER((1+F22),'数据-取费表'!B20/2)-1)),4)</f>
        <v>5.9999999999999995E-4</v>
      </c>
      <c r="D44" s="238"/>
      <c r="E44" s="238"/>
      <c r="F44" s="239"/>
      <c r="G44" s="3672"/>
    </row>
    <row r="45" spans="1:7" s="214" customFormat="1" ht="13.5" customHeight="1">
      <c r="A45" s="255" t="s">
        <v>1544</v>
      </c>
      <c r="B45" s="244" t="s">
        <v>1510</v>
      </c>
      <c r="C45" s="245">
        <f ca="1">C46</f>
        <v>2029548</v>
      </c>
      <c r="D45" s="235">
        <f ca="1">C47</f>
        <v>2.3E-3</v>
      </c>
      <c r="E45" s="236" t="s">
        <v>1536</v>
      </c>
      <c r="F45" s="246">
        <f ca="1">F27</f>
        <v>0.15</v>
      </c>
      <c r="G45" s="247" t="s">
        <v>1545</v>
      </c>
    </row>
    <row r="46" spans="1:7" s="214" customFormat="1" ht="13.5" customHeight="1">
      <c r="A46" s="778" t="s">
        <v>346</v>
      </c>
      <c r="B46" s="248" t="s">
        <v>1546</v>
      </c>
      <c r="C46" s="249">
        <f ca="1">ROUND((C33+C39)*F27,0)</f>
        <v>2029548</v>
      </c>
      <c r="D46" s="263"/>
      <c r="E46" s="236"/>
      <c r="F46" s="246"/>
      <c r="G46" s="247"/>
    </row>
    <row r="47" spans="1:7" s="214" customFormat="1" ht="13.5" customHeight="1">
      <c r="A47" s="778" t="s">
        <v>347</v>
      </c>
      <c r="B47" s="248" t="s">
        <v>1547</v>
      </c>
      <c r="C47" s="238">
        <f ca="1">ROUND(C40*F27,4)</f>
        <v>2.3E-3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17357207</v>
      </c>
      <c r="D49" s="232"/>
      <c r="E49" s="232"/>
      <c r="F49" s="264"/>
      <c r="G49" s="234" t="s">
        <v>1551</v>
      </c>
    </row>
    <row r="50" spans="1:7" s="258" customFormat="1">
      <c r="A50" s="255" t="s">
        <v>1552</v>
      </c>
      <c r="B50" s="210" t="s">
        <v>1553</v>
      </c>
      <c r="C50" s="232"/>
      <c r="D50" s="232"/>
      <c r="E50" s="232"/>
      <c r="F50" s="264">
        <f>IF('数据-取费表'!B24=0,'数据-取费表'!N16,1)</f>
        <v>0.7</v>
      </c>
      <c r="G50" s="247"/>
    </row>
    <row r="51" spans="1:7" ht="16.5" customHeight="1">
      <c r="A51" s="255" t="s">
        <v>1555</v>
      </c>
      <c r="B51" s="210" t="s">
        <v>1590</v>
      </c>
      <c r="C51" s="232">
        <f ca="1">ROUND(C49*F50,0)</f>
        <v>12150045</v>
      </c>
      <c r="D51" s="232"/>
      <c r="E51" s="232"/>
      <c r="F51" s="264"/>
      <c r="G51" s="234" t="s">
        <v>1557</v>
      </c>
    </row>
    <row r="52" spans="1:7" s="208" customFormat="1" ht="16.5" thickBot="1">
      <c r="A52" s="265" t="s">
        <v>1558</v>
      </c>
      <c r="B52" s="266"/>
      <c r="C52" s="267">
        <f ca="1">C31+C51</f>
        <v>14014210</v>
      </c>
      <c r="D52" s="266"/>
      <c r="E52" s="266"/>
      <c r="F52" s="266"/>
      <c r="G52" s="268"/>
    </row>
    <row r="55" spans="1:7" ht="15">
      <c r="B55" s="270" t="s">
        <v>1559</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9"/>
      <c r="C1" s="1190"/>
      <c r="D1" s="1188"/>
      <c r="E1" s="2799"/>
      <c r="F1" s="2799"/>
      <c r="G1" s="2664"/>
      <c r="H1" s="2799"/>
      <c r="I1" s="2799"/>
      <c r="J1" s="2799"/>
      <c r="K1" s="2800">
        <f>MATCH(C1,'数据-取费表'!A6:A16,0)+5</f>
        <v>7</v>
      </c>
    </row>
    <row r="2" spans="1:33" ht="18" customHeight="1">
      <c r="A2" s="201" t="s">
        <v>1459</v>
      </c>
      <c r="B2" s="204">
        <f ca="1">C32</f>
        <v>0</v>
      </c>
      <c r="C2" s="276" t="s">
        <v>1592</v>
      </c>
      <c r="D2" s="276"/>
      <c r="E2" s="2799"/>
      <c r="F2" s="2799"/>
      <c r="G2" s="2799"/>
      <c r="H2" s="2799"/>
      <c r="I2" s="2799"/>
      <c r="J2" s="2799"/>
      <c r="K2" s="2799"/>
    </row>
    <row r="3" spans="1:33" ht="18" customHeight="1" thickBot="1">
      <c r="A3" s="203" t="s">
        <v>1461</v>
      </c>
      <c r="B3" s="204">
        <f ca="1">ROUND(B2*10000/IF(C1="",'数据-汇总表'!E3,INDIRECT("'数据-取费表'!K"&amp;$K$1)),0)</f>
        <v>0</v>
      </c>
      <c r="C3" s="276" t="s">
        <v>1593</v>
      </c>
      <c r="D3" s="276"/>
      <c r="E3" s="2799"/>
      <c r="F3" s="2799"/>
      <c r="G3" s="2799"/>
      <c r="H3" s="2799"/>
      <c r="I3" s="2799"/>
      <c r="J3" s="2799"/>
      <c r="K3" s="2799"/>
    </row>
    <row r="4" spans="1:33" s="783" customFormat="1" ht="16.5" customHeight="1">
      <c r="A4" s="780" t="s">
        <v>1594</v>
      </c>
      <c r="B4" s="781"/>
      <c r="C4" s="822">
        <f>SUM(C8:K8)</f>
        <v>0</v>
      </c>
      <c r="D4" s="781"/>
      <c r="E4" s="781"/>
      <c r="F4" s="781"/>
      <c r="G4" s="781"/>
      <c r="H4" s="781"/>
      <c r="I4" s="781"/>
      <c r="J4" s="781"/>
      <c r="K4" s="782"/>
    </row>
    <row r="5" spans="1:33" s="787" customFormat="1" ht="15">
      <c r="A5" s="784" t="s">
        <v>1595</v>
      </c>
      <c r="B5" s="785" t="s">
        <v>1596</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1600</v>
      </c>
      <c r="B8" s="164" t="s">
        <v>1601</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1610</v>
      </c>
      <c r="C12" s="21">
        <f ca="1">ROUND(C11*F12,0)</f>
        <v>0</v>
      </c>
      <c r="D12" s="800"/>
      <c r="E12" s="329"/>
      <c r="F12" s="810">
        <f>'数据-取费表'!B33</f>
        <v>0.03</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0</v>
      </c>
      <c r="D13" s="844"/>
      <c r="E13" s="329"/>
      <c r="F13" s="810">
        <f>'数据-取费表'!B34</f>
        <v>0</v>
      </c>
      <c r="G13" s="5" t="s">
        <v>1613</v>
      </c>
      <c r="H13" s="795"/>
      <c r="I13" s="795"/>
      <c r="J13" s="795"/>
      <c r="K13" s="796"/>
    </row>
    <row r="14" spans="1:33" s="803" customFormat="1" ht="13.5" customHeight="1">
      <c r="A14" s="798" t="s">
        <v>638</v>
      </c>
      <c r="B14" s="799" t="s">
        <v>1614</v>
      </c>
      <c r="C14" s="21">
        <f ca="1">ROUND(D14*E14*F11/10000,0)</f>
        <v>0</v>
      </c>
      <c r="D14" s="844">
        <f ca="1">IF(C1="",'数据-汇总表'!E3,INDIRECT("'数据-取费表'!K"&amp;$K$1)+INDIRECT("'数据-取费表'!S"&amp;$K$1))</f>
        <v>3455.7</v>
      </c>
      <c r="E14" s="21">
        <f>'数据-取费表'!B35</f>
        <v>200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0</v>
      </c>
      <c r="D15" s="804"/>
      <c r="E15" s="809"/>
      <c r="F15" s="810">
        <f>'数据-取费表'!B36</f>
        <v>1.4999999999999999E-2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3455.7</v>
      </c>
      <c r="E17" s="21">
        <f>'数据-取费表'!B32</f>
        <v>0</v>
      </c>
      <c r="F17" s="804"/>
      <c r="G17" s="131" t="s">
        <v>1620</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0</v>
      </c>
      <c r="D18" s="844"/>
      <c r="E18" s="21"/>
      <c r="F18" s="802"/>
      <c r="G18" s="1860"/>
      <c r="H18" s="1185"/>
      <c r="I18" s="1861" t="s">
        <v>1622</v>
      </c>
      <c r="J18" s="805"/>
      <c r="K18" s="806"/>
    </row>
    <row r="19" spans="1:33" s="801" customFormat="1" ht="13.5" customHeight="1">
      <c r="A19" s="798" t="s">
        <v>360</v>
      </c>
      <c r="B19" s="799" t="s">
        <v>1623</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1624</v>
      </c>
      <c r="C20" s="21">
        <f ca="1">ROUND(D20*E20/10000,0)</f>
        <v>69</v>
      </c>
      <c r="D20" s="844">
        <f ca="1">IF(C1="",'数据-汇总表'!E6,IF(INDIRECT("'数据-取费表'!c"&amp;$K$1)="住宅",INDIRECT("'数据-取费表'!s"&amp;$K$1),INDIRECT("'数据-取费表'!k"&amp;$K$1)+INDIRECT("'数据-取费表'!s"&amp;$K$1)))</f>
        <v>3455.7</v>
      </c>
      <c r="E20" s="21">
        <f>'数据-取费表'!B28</f>
        <v>200</v>
      </c>
      <c r="F20" s="802"/>
      <c r="G20" s="12"/>
      <c r="H20" s="807"/>
      <c r="I20" s="807"/>
      <c r="J20" s="807"/>
      <c r="K20" s="808"/>
    </row>
    <row r="21" spans="1:33" s="801" customFormat="1" ht="13.5" customHeight="1">
      <c r="A21" s="788" t="s">
        <v>357</v>
      </c>
      <c r="B21" s="811" t="s">
        <v>1625</v>
      </c>
      <c r="C21" s="812">
        <f ca="1">C16+C17+C18</f>
        <v>0</v>
      </c>
      <c r="D21" s="813"/>
      <c r="E21" s="281"/>
      <c r="F21" s="281"/>
      <c r="G21" s="131" t="s">
        <v>1626</v>
      </c>
      <c r="H21" s="805"/>
      <c r="I21" s="805"/>
      <c r="J21" s="805"/>
      <c r="K21" s="806"/>
    </row>
    <row r="22" spans="1:33" s="801" customFormat="1" ht="13.5" customHeight="1">
      <c r="A22" s="788" t="s">
        <v>1598</v>
      </c>
      <c r="B22" s="811" t="s">
        <v>1627</v>
      </c>
      <c r="C22" s="812">
        <f ca="1">ROUND(C21*F22,0)</f>
        <v>0</v>
      </c>
      <c r="D22" s="281"/>
      <c r="E22" s="281"/>
      <c r="F22" s="814">
        <f>'数据-取费表'!B37</f>
        <v>1.4999999999999999E-2</v>
      </c>
      <c r="G22" s="5" t="s">
        <v>1628</v>
      </c>
      <c r="H22" s="795"/>
      <c r="I22" s="795"/>
      <c r="J22" s="795"/>
      <c r="K22" s="796"/>
    </row>
    <row r="23" spans="1:33" s="801" customFormat="1" ht="13.5" customHeight="1">
      <c r="A23" s="788" t="s">
        <v>1600</v>
      </c>
      <c r="B23" s="811" t="s">
        <v>1629</v>
      </c>
      <c r="C23" s="812">
        <f ca="1">ROUND(C4*F23*F11,0)</f>
        <v>0</v>
      </c>
      <c r="D23" s="281"/>
      <c r="E23" s="281"/>
      <c r="F23" s="814">
        <f>'数据-取费表'!B38</f>
        <v>1.4999999999999999E-2</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1638</v>
      </c>
      <c r="B28" s="1863" t="s">
        <v>1639</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1640</v>
      </c>
      <c r="C29" s="284">
        <f ca="1">ROUND((1+C24)*F28*'数据-取费表'!B24/'数据-取费表'!B20,4)</f>
        <v>0</v>
      </c>
      <c r="D29" s="284"/>
      <c r="E29" s="285"/>
      <c r="F29" s="290"/>
      <c r="G29" s="131" t="s">
        <v>1641</v>
      </c>
      <c r="H29" s="805"/>
      <c r="I29" s="805"/>
      <c r="J29" s="805"/>
      <c r="K29" s="806"/>
    </row>
    <row r="30" spans="1:33" s="291" customFormat="1" ht="13.5" customHeight="1">
      <c r="A30" s="798" t="s">
        <v>359</v>
      </c>
      <c r="B30" s="820" t="s">
        <v>1642</v>
      </c>
      <c r="C30" s="292">
        <f ca="1">ROUND((C21+C22+C23)*F28,0)</f>
        <v>0</v>
      </c>
      <c r="D30" s="284"/>
      <c r="E30" s="285"/>
      <c r="F30" s="290"/>
      <c r="G30" s="131"/>
      <c r="H30" s="805"/>
      <c r="I30" s="805"/>
      <c r="J30" s="805"/>
      <c r="K30" s="806"/>
    </row>
    <row r="31" spans="1:33" s="801" customFormat="1" ht="13.5" customHeight="1" thickBot="1">
      <c r="A31" s="1864" t="s">
        <v>1643</v>
      </c>
      <c r="B31" s="831" t="s">
        <v>1644</v>
      </c>
      <c r="C31" s="832">
        <f>ROUND(C4*F31/(1+'数据-取费表'!C42),0)</f>
        <v>0</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0</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3" t="s">
        <v>2309</v>
      </c>
      <c r="B2" s="2836" t="e">
        <f>IF(D2="——",C40,C40+E2)</f>
        <v>#DIV/0!</v>
      </c>
      <c r="C2" s="2837" t="s">
        <v>2310</v>
      </c>
      <c r="D2" s="3438" t="s">
        <v>3361</v>
      </c>
      <c r="E2" s="3439"/>
      <c r="F2" s="2839"/>
      <c r="G2" s="2840"/>
      <c r="H2" s="2841"/>
      <c r="I2" s="2842"/>
      <c r="J2" s="3679" t="s">
        <v>2311</v>
      </c>
      <c r="K2" s="3680"/>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681" t="s">
        <v>2321</v>
      </c>
      <c r="K3" s="3682"/>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681" t="s">
        <v>2323</v>
      </c>
      <c r="K4" s="3682"/>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687" t="s">
        <v>2327</v>
      </c>
      <c r="B6" s="3688"/>
      <c r="C6" s="3689"/>
      <c r="D6" s="2863"/>
      <c r="E6" s="2864"/>
      <c r="F6" s="2865"/>
      <c r="G6" s="2866"/>
      <c r="H6" s="2841"/>
      <c r="I6" s="2842"/>
      <c r="J6" s="3673">
        <v>1</v>
      </c>
      <c r="K6" s="3674"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673"/>
      <c r="K7" s="3675"/>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690" t="s">
        <v>2341</v>
      </c>
      <c r="C8" s="3691"/>
      <c r="D8" s="2882" t="s">
        <v>2342</v>
      </c>
      <c r="E8" s="2883" t="s">
        <v>2343</v>
      </c>
      <c r="F8" s="2884" t="s">
        <v>2344</v>
      </c>
      <c r="G8" s="2885"/>
      <c r="H8" s="2841"/>
      <c r="I8" s="2842"/>
      <c r="J8" s="3673"/>
      <c r="K8" s="3675"/>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690" t="s">
        <v>2347</v>
      </c>
      <c r="C9" s="3691"/>
      <c r="D9" s="2882">
        <f>ROUND(D6*E9,0)</f>
        <v>0</v>
      </c>
      <c r="E9" s="2886"/>
      <c r="F9" s="2887" t="s">
        <v>2348</v>
      </c>
      <c r="G9" s="2866"/>
      <c r="H9" s="2841"/>
      <c r="I9" s="2842"/>
      <c r="J9" s="3673"/>
      <c r="K9" s="3675"/>
      <c r="L9" s="2876" t="s">
        <v>2349</v>
      </c>
      <c r="M9" s="2877"/>
      <c r="N9" s="2853"/>
      <c r="O9" s="2878"/>
      <c r="P9" s="2878"/>
      <c r="Q9" s="2879">
        <v>365</v>
      </c>
      <c r="R9" s="2880">
        <f t="shared" si="0"/>
        <v>0</v>
      </c>
      <c r="S9" s="2834"/>
      <c r="T9" s="2834"/>
      <c r="U9" s="2834"/>
      <c r="V9" s="2842"/>
    </row>
    <row r="10" spans="1:22" s="2846" customFormat="1" ht="13.15" customHeight="1">
      <c r="A10" s="2881">
        <v>2</v>
      </c>
      <c r="B10" s="3690" t="s">
        <v>2350</v>
      </c>
      <c r="C10" s="3691"/>
      <c r="D10" s="2882">
        <f>ROUND(D6*E10,0)</f>
        <v>0</v>
      </c>
      <c r="E10" s="2886"/>
      <c r="F10" s="2887" t="s">
        <v>2351</v>
      </c>
      <c r="G10" s="2866"/>
      <c r="H10" s="2841"/>
      <c r="I10" s="2842"/>
      <c r="J10" s="3673"/>
      <c r="K10" s="3675"/>
      <c r="L10" s="2876" t="s">
        <v>2352</v>
      </c>
      <c r="M10" s="2877"/>
      <c r="N10" s="2853"/>
      <c r="O10" s="2878"/>
      <c r="P10" s="2878"/>
      <c r="Q10" s="2879">
        <v>365</v>
      </c>
      <c r="R10" s="2880">
        <f t="shared" si="0"/>
        <v>0</v>
      </c>
      <c r="S10" s="2834"/>
      <c r="T10" s="2834"/>
      <c r="U10" s="2834"/>
      <c r="V10" s="2842"/>
    </row>
    <row r="11" spans="1:22" s="2846" customFormat="1" ht="13.15" customHeight="1">
      <c r="A11" s="2881">
        <v>3</v>
      </c>
      <c r="B11" s="3690" t="s">
        <v>2353</v>
      </c>
      <c r="C11" s="3691"/>
      <c r="D11" s="2882">
        <f>D12+D14+D15+D16</f>
        <v>0</v>
      </c>
      <c r="E11" s="2888" t="e">
        <f>D11/D6</f>
        <v>#DIV/0!</v>
      </c>
      <c r="F11" s="2884"/>
      <c r="G11" s="2885"/>
      <c r="H11" s="2841"/>
      <c r="I11" s="2842"/>
      <c r="J11" s="3673"/>
      <c r="K11" s="3675"/>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683" t="s">
        <v>2356</v>
      </c>
      <c r="C12" s="3684"/>
      <c r="D12" s="2890">
        <f>ROUND(D13*1.2%*(1-30%),0)</f>
        <v>0</v>
      </c>
      <c r="E12" s="2891">
        <v>1.2E-2</v>
      </c>
      <c r="F12" s="2884" t="s">
        <v>2357</v>
      </c>
      <c r="G12" s="2885"/>
      <c r="H12" s="2841"/>
      <c r="I12" s="2842"/>
      <c r="J12" s="3673"/>
      <c r="K12" s="3675"/>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673"/>
      <c r="K13" s="3675"/>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683" t="s">
        <v>2362</v>
      </c>
      <c r="C14" s="3684"/>
      <c r="D14" s="2890">
        <f>ROUND(E14*B5/10000,0)</f>
        <v>0</v>
      </c>
      <c r="E14" s="2879"/>
      <c r="F14" s="2884" t="s">
        <v>2363</v>
      </c>
      <c r="G14" s="2885"/>
      <c r="H14" s="2841"/>
      <c r="I14" s="2842"/>
      <c r="J14" s="3673"/>
      <c r="K14" s="3676"/>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683" t="s">
        <v>2366</v>
      </c>
      <c r="C15" s="3684"/>
      <c r="D15" s="2890">
        <f>ROUND(D6*E15,0)</f>
        <v>0</v>
      </c>
      <c r="E15" s="2891">
        <v>5.5E-2</v>
      </c>
      <c r="F15" s="2884" t="s">
        <v>2367</v>
      </c>
      <c r="G15" s="2866"/>
      <c r="H15" s="2841"/>
      <c r="I15" s="2842"/>
      <c r="J15" s="3673">
        <v>2</v>
      </c>
      <c r="K15" s="3674"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683" t="s">
        <v>2375</v>
      </c>
      <c r="C16" s="3684"/>
      <c r="D16" s="2901">
        <f>D6*E16</f>
        <v>0</v>
      </c>
      <c r="E16" s="2902"/>
      <c r="F16" s="2887" t="s">
        <v>2376</v>
      </c>
      <c r="G16" s="2866"/>
      <c r="H16" s="2841"/>
      <c r="I16" s="2842"/>
      <c r="J16" s="3673"/>
      <c r="K16" s="3675"/>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685" t="s">
        <v>2378</v>
      </c>
      <c r="C17" s="3686"/>
      <c r="D17" s="2904">
        <f>ROUND(D6*E17,0)</f>
        <v>0</v>
      </c>
      <c r="E17" s="2905"/>
      <c r="F17" s="2906" t="s">
        <v>2379</v>
      </c>
      <c r="G17" s="2866"/>
      <c r="H17" s="2841"/>
      <c r="I17" s="2842"/>
      <c r="J17" s="3673"/>
      <c r="K17" s="3675"/>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673"/>
      <c r="K18" s="3675"/>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673"/>
      <c r="K19" s="3676"/>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73">
        <v>3</v>
      </c>
      <c r="K20" s="3674"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673"/>
      <c r="K21" s="3675"/>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673"/>
      <c r="K22" s="3675"/>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673"/>
      <c r="K23" s="3675"/>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673"/>
      <c r="K24" s="3676"/>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677">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678"/>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679" t="s">
        <v>2311</v>
      </c>
      <c r="K32" s="3680"/>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681" t="s">
        <v>2321</v>
      </c>
      <c r="K33" s="3682"/>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681" t="s">
        <v>2323</v>
      </c>
      <c r="K34" s="368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673">
        <v>1</v>
      </c>
      <c r="K36" s="3674"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673"/>
      <c r="K37" s="3675"/>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73"/>
      <c r="K38" s="3675"/>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673"/>
      <c r="K39" s="3675"/>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673"/>
      <c r="K40" s="3676"/>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677">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678"/>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0"/>
      <c r="G1" s="1487"/>
      <c r="H1" s="1487"/>
      <c r="I1" s="1487"/>
      <c r="J1" s="1487"/>
      <c r="K1" s="1487"/>
      <c r="L1" s="1487"/>
      <c r="M1" s="1487"/>
      <c r="N1" s="1487"/>
      <c r="O1" s="1487"/>
      <c r="P1" s="1487"/>
      <c r="Q1" s="1487"/>
      <c r="R1" s="1487"/>
      <c r="S1" s="1487"/>
    </row>
    <row r="2" spans="1:22" ht="15.75">
      <c r="A2" s="1868" t="s">
        <v>1459</v>
      </c>
      <c r="B2" s="1869">
        <f ca="1">SUMIF(B6:B13,"&lt;&gt;#ref!",B6:B13)</f>
        <v>9849.5195000000003</v>
      </c>
      <c r="C2" s="1870" t="s">
        <v>1648</v>
      </c>
      <c r="D2" s="1871" t="s">
        <v>1649</v>
      </c>
      <c r="E2" s="2601">
        <f>SUM(E6:E13)</f>
        <v>3455.7</v>
      </c>
      <c r="F2" s="2700"/>
      <c r="G2" s="1487"/>
      <c r="H2" s="1487"/>
      <c r="I2" s="1487"/>
      <c r="J2" s="1487"/>
      <c r="K2" s="1487"/>
      <c r="L2" s="1487"/>
      <c r="M2" s="1487"/>
      <c r="N2" s="1487"/>
      <c r="O2" s="1487"/>
      <c r="P2" s="1487"/>
      <c r="Q2" s="1487"/>
      <c r="R2" s="1487"/>
      <c r="S2" s="1487"/>
    </row>
    <row r="3" spans="1:22" ht="15.75">
      <c r="A3" s="1868" t="s">
        <v>686</v>
      </c>
      <c r="B3" s="2595">
        <f ca="1">ROUND(B2*10000/E2,0)</f>
        <v>28502</v>
      </c>
      <c r="C3" s="1870" t="s">
        <v>1656</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1650</v>
      </c>
      <c r="B5" s="3692" t="s">
        <v>1651</v>
      </c>
      <c r="C5" s="3693"/>
      <c r="D5" s="2701"/>
      <c r="E5" s="1872" t="s">
        <v>1652</v>
      </c>
      <c r="F5" s="1873" t="s">
        <v>1653</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9849.5195000000003</v>
      </c>
      <c r="C6" s="1870" t="s">
        <v>1648</v>
      </c>
      <c r="D6" s="2702"/>
      <c r="E6" s="2600">
        <f>IF(OR(A6=0,F6="否"),0,'数据-取费表'!K6+'数据-取费表'!S6)</f>
        <v>3455.7</v>
      </c>
      <c r="F6" s="1874" t="s">
        <v>1654</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1648</v>
      </c>
      <c r="D7" s="2702"/>
      <c r="E7" s="2600">
        <f>IF(OR(A7=0,F7="否"),0,'数据-取费表'!K7+'数据-取费表'!S7)</f>
        <v>0</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2"/>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2"/>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2"/>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2"/>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2"/>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3"/>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1658</v>
      </c>
      <c r="C1" s="1236" t="s">
        <v>1659</v>
      </c>
      <c r="D1" s="1223"/>
      <c r="E1" s="3421"/>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1661</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1662</v>
      </c>
      <c r="D3" s="353">
        <f>IF(D1="",'数据-汇总表'!E3,SUMIF('数据-汇总表'!$C19:$C33,D1,'数据-汇总表'!$E19:$E33))</f>
        <v>3455.7</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1663</v>
      </c>
      <c r="B4" s="356"/>
      <c r="C4" s="3712" t="s">
        <v>1664</v>
      </c>
      <c r="D4" s="3713"/>
      <c r="E4" s="3714" t="s">
        <v>1665</v>
      </c>
      <c r="F4" s="3715"/>
      <c r="G4" s="3712" t="s">
        <v>1666</v>
      </c>
      <c r="H4" s="3713"/>
      <c r="I4" s="3712" t="s">
        <v>1667</v>
      </c>
      <c r="J4" s="3713"/>
      <c r="K4" s="1887" t="s">
        <v>1668</v>
      </c>
      <c r="L4" s="2708"/>
      <c r="M4" s="2709"/>
      <c r="N4" s="2709"/>
      <c r="O4" s="2709"/>
      <c r="P4" s="3716" t="s">
        <v>1669</v>
      </c>
      <c r="Q4" s="3717"/>
      <c r="R4" s="3722" t="s">
        <v>1665</v>
      </c>
      <c r="S4" s="3723"/>
      <c r="T4" s="3722" t="s">
        <v>1666</v>
      </c>
      <c r="U4" s="3723"/>
      <c r="V4" s="3728" t="s">
        <v>1667</v>
      </c>
      <c r="W4" s="3728"/>
      <c r="X4" s="1353"/>
      <c r="Y4" s="3722" t="s">
        <v>1669</v>
      </c>
      <c r="Z4" s="3723"/>
      <c r="AA4" s="3709" t="s">
        <v>1665</v>
      </c>
      <c r="AB4" s="3709" t="s">
        <v>1666</v>
      </c>
      <c r="AC4" s="3709" t="s">
        <v>1667</v>
      </c>
    </row>
    <row r="5" spans="1:29" ht="15">
      <c r="A5" s="358"/>
      <c r="B5" s="359"/>
      <c r="C5" s="3731" t="s">
        <v>1670</v>
      </c>
      <c r="D5" s="3732"/>
      <c r="E5" s="3738" t="s">
        <v>1671</v>
      </c>
      <c r="F5" s="3739"/>
      <c r="G5" s="3731" t="s">
        <v>1672</v>
      </c>
      <c r="H5" s="3732"/>
      <c r="I5" s="3731" t="s">
        <v>1673</v>
      </c>
      <c r="J5" s="3732"/>
      <c r="K5" s="1888"/>
      <c r="L5" s="2708"/>
      <c r="M5" s="2709"/>
      <c r="N5" s="2709"/>
      <c r="O5" s="2709"/>
      <c r="P5" s="3718"/>
      <c r="Q5" s="3719"/>
      <c r="R5" s="3724"/>
      <c r="S5" s="3725"/>
      <c r="T5" s="3724"/>
      <c r="U5" s="3725"/>
      <c r="V5" s="3728"/>
      <c r="W5" s="3728"/>
      <c r="X5" s="1353"/>
      <c r="Y5" s="3724"/>
      <c r="Z5" s="3725"/>
      <c r="AA5" s="3710"/>
      <c r="AB5" s="3710"/>
      <c r="AC5" s="3710"/>
    </row>
    <row r="6" spans="1:29" ht="15.75" thickBot="1">
      <c r="A6" s="360"/>
      <c r="B6" s="361"/>
      <c r="C6" s="3729" t="s">
        <v>1674</v>
      </c>
      <c r="D6" s="3730"/>
      <c r="E6" s="3736" t="s">
        <v>1674</v>
      </c>
      <c r="F6" s="3737"/>
      <c r="G6" s="3729" t="s">
        <v>1674</v>
      </c>
      <c r="H6" s="3730"/>
      <c r="I6" s="3729" t="s">
        <v>1674</v>
      </c>
      <c r="J6" s="3730"/>
      <c r="K6" s="1888" t="s">
        <v>1675</v>
      </c>
      <c r="L6" s="2708"/>
      <c r="M6" s="2709"/>
      <c r="N6" s="2709"/>
      <c r="O6" s="2709"/>
      <c r="P6" s="3720"/>
      <c r="Q6" s="3721"/>
      <c r="R6" s="3724"/>
      <c r="S6" s="3725"/>
      <c r="T6" s="3726"/>
      <c r="U6" s="3727"/>
      <c r="V6" s="3728"/>
      <c r="W6" s="3728"/>
      <c r="X6" s="1353"/>
      <c r="Y6" s="3726"/>
      <c r="Z6" s="3727"/>
      <c r="AA6" s="3711"/>
      <c r="AB6" s="3711"/>
      <c r="AC6" s="3711"/>
    </row>
    <row r="7" spans="1:29" s="108" customFormat="1" ht="15.75" thickBot="1">
      <c r="A7" s="362" t="s">
        <v>1676</v>
      </c>
      <c r="B7" s="363"/>
      <c r="C7" s="364">
        <f>'数据-取费表'!B2</f>
        <v>45037</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733" t="s">
        <v>1677</v>
      </c>
      <c r="Q7" s="3735"/>
      <c r="R7" s="699" t="s">
        <v>20</v>
      </c>
      <c r="S7" s="700">
        <f t="shared" ref="S7:S15" si="0">F7</f>
        <v>0</v>
      </c>
      <c r="T7" s="699" t="s">
        <v>20</v>
      </c>
      <c r="U7" s="700">
        <f t="shared" ref="U7:U15" si="1">H7</f>
        <v>0</v>
      </c>
      <c r="V7" s="699" t="s">
        <v>20</v>
      </c>
      <c r="W7" s="700">
        <f t="shared" ref="W7:W15" si="2">J7</f>
        <v>0</v>
      </c>
      <c r="X7" s="701"/>
      <c r="Y7" s="3733" t="s">
        <v>1677</v>
      </c>
      <c r="Z7" s="3734"/>
      <c r="AA7" s="702" t="e">
        <f>D7/F7</f>
        <v>#DIV/0!</v>
      </c>
      <c r="AB7" s="702" t="e">
        <f>D7/H7</f>
        <v>#DIV/0!</v>
      </c>
      <c r="AC7" s="702" t="e">
        <f>D7/J7</f>
        <v>#DIV/0!</v>
      </c>
    </row>
    <row r="8" spans="1:29" s="108" customFormat="1" ht="15.75" thickBot="1">
      <c r="A8" s="362" t="s">
        <v>1678</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733" t="s">
        <v>1680</v>
      </c>
      <c r="Q8" s="3734"/>
      <c r="R8" s="699" t="s">
        <v>20</v>
      </c>
      <c r="S8" s="700">
        <f t="shared" si="0"/>
        <v>100</v>
      </c>
      <c r="T8" s="699" t="s">
        <v>20</v>
      </c>
      <c r="U8" s="700">
        <f t="shared" si="1"/>
        <v>100</v>
      </c>
      <c r="V8" s="699" t="s">
        <v>20</v>
      </c>
      <c r="W8" s="700">
        <f t="shared" si="2"/>
        <v>100</v>
      </c>
      <c r="X8" s="701"/>
      <c r="Y8" s="3733" t="s">
        <v>1680</v>
      </c>
      <c r="Z8" s="3734"/>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08"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08"/>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08"/>
      <c r="Q11" s="1341" t="str">
        <f t="shared" si="6"/>
        <v>容积率</v>
      </c>
      <c r="R11" s="699" t="s">
        <v>18</v>
      </c>
      <c r="S11" s="700" t="e">
        <f t="shared" si="0"/>
        <v>#N/A</v>
      </c>
      <c r="T11" s="699" t="s">
        <v>18</v>
      </c>
      <c r="U11" s="700" t="e">
        <f t="shared" si="1"/>
        <v>#N/A</v>
      </c>
      <c r="V11" s="699" t="s">
        <v>18</v>
      </c>
      <c r="W11" s="700" t="e">
        <f t="shared" si="2"/>
        <v>#N/A</v>
      </c>
      <c r="X11" s="701"/>
      <c r="Y11" s="357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08"/>
      <c r="Q12" s="1341">
        <f t="shared" si="6"/>
        <v>111</v>
      </c>
      <c r="R12" s="699" t="s">
        <v>18</v>
      </c>
      <c r="S12" s="700">
        <f t="shared" si="0"/>
        <v>100</v>
      </c>
      <c r="T12" s="699" t="s">
        <v>18</v>
      </c>
      <c r="U12" s="700">
        <f t="shared" si="1"/>
        <v>100</v>
      </c>
      <c r="V12" s="699" t="s">
        <v>18</v>
      </c>
      <c r="W12" s="700">
        <f t="shared" si="2"/>
        <v>100</v>
      </c>
      <c r="X12" s="701"/>
      <c r="Y12" s="357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08"/>
      <c r="Q13" s="1341">
        <f t="shared" si="6"/>
        <v>111</v>
      </c>
      <c r="R13" s="699" t="s">
        <v>18</v>
      </c>
      <c r="S13" s="700">
        <f t="shared" si="0"/>
        <v>100</v>
      </c>
      <c r="T13" s="699" t="s">
        <v>18</v>
      </c>
      <c r="U13" s="700">
        <f t="shared" si="1"/>
        <v>100</v>
      </c>
      <c r="V13" s="699" t="s">
        <v>18</v>
      </c>
      <c r="W13" s="700">
        <f t="shared" si="2"/>
        <v>100</v>
      </c>
      <c r="X13" s="701"/>
      <c r="Y13" s="357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08"/>
      <c r="Q14" s="1341">
        <f t="shared" si="6"/>
        <v>111</v>
      </c>
      <c r="R14" s="699" t="s">
        <v>18</v>
      </c>
      <c r="S14" s="700">
        <f t="shared" si="0"/>
        <v>100</v>
      </c>
      <c r="T14" s="699" t="s">
        <v>18</v>
      </c>
      <c r="U14" s="700">
        <f t="shared" si="1"/>
        <v>100</v>
      </c>
      <c r="V14" s="699" t="s">
        <v>18</v>
      </c>
      <c r="W14" s="700">
        <f t="shared" si="2"/>
        <v>100</v>
      </c>
      <c r="X14" s="701"/>
      <c r="Y14" s="3578"/>
      <c r="Z14" s="52">
        <f t="shared" si="7"/>
        <v>111</v>
      </c>
      <c r="AA14" s="702">
        <f t="shared" si="3"/>
        <v>1</v>
      </c>
      <c r="AB14" s="702">
        <f t="shared" si="4"/>
        <v>1</v>
      </c>
      <c r="AC14" s="702">
        <f t="shared" si="5"/>
        <v>1</v>
      </c>
    </row>
    <row r="15" spans="1:29" ht="15">
      <c r="A15" s="391" t="s">
        <v>1687</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06" t="s">
        <v>1688</v>
      </c>
      <c r="Q15" s="1350" t="str">
        <f t="shared" si="6"/>
        <v>居住社区成熟度</v>
      </c>
      <c r="R15" s="703" t="s">
        <v>18</v>
      </c>
      <c r="S15" s="704">
        <f t="shared" si="0"/>
        <v>100</v>
      </c>
      <c r="T15" s="703" t="s">
        <v>18</v>
      </c>
      <c r="U15" s="704">
        <f t="shared" si="1"/>
        <v>100</v>
      </c>
      <c r="V15" s="703" t="s">
        <v>18</v>
      </c>
      <c r="W15" s="704">
        <f t="shared" si="2"/>
        <v>100</v>
      </c>
      <c r="X15" s="1353"/>
      <c r="Y15" s="3699" t="s">
        <v>1688</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07"/>
      <c r="Q16" s="1350"/>
      <c r="R16" s="703"/>
      <c r="S16" s="704"/>
      <c r="T16" s="703"/>
      <c r="U16" s="704"/>
      <c r="V16" s="703"/>
      <c r="W16" s="704"/>
      <c r="X16" s="1353"/>
      <c r="Y16" s="3700"/>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07"/>
      <c r="Q17" s="1350" t="str">
        <f>B17</f>
        <v>交通便捷度</v>
      </c>
      <c r="R17" s="703" t="s">
        <v>18</v>
      </c>
      <c r="S17" s="704">
        <f>F17</f>
        <v>100</v>
      </c>
      <c r="T17" s="703" t="s">
        <v>18</v>
      </c>
      <c r="U17" s="704">
        <f>H17</f>
        <v>100</v>
      </c>
      <c r="V17" s="703" t="s">
        <v>18</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07"/>
      <c r="Q18" s="1350"/>
      <c r="R18" s="703"/>
      <c r="S18" s="704"/>
      <c r="T18" s="703"/>
      <c r="U18" s="704"/>
      <c r="V18" s="703"/>
      <c r="W18" s="704"/>
      <c r="X18" s="1353"/>
      <c r="Y18" s="3700"/>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07"/>
      <c r="Q19" s="1350" t="str">
        <f>B19</f>
        <v>公共配套设施</v>
      </c>
      <c r="R19" s="703" t="s">
        <v>18</v>
      </c>
      <c r="S19" s="704">
        <f>F19</f>
        <v>100</v>
      </c>
      <c r="T19" s="703" t="s">
        <v>18</v>
      </c>
      <c r="U19" s="704">
        <f>H19</f>
        <v>100</v>
      </c>
      <c r="V19" s="703" t="s">
        <v>18</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07"/>
      <c r="Q20" s="1350"/>
      <c r="R20" s="703"/>
      <c r="S20" s="704"/>
      <c r="T20" s="703"/>
      <c r="U20" s="704"/>
      <c r="V20" s="703"/>
      <c r="W20" s="704"/>
      <c r="X20" s="1353"/>
      <c r="Y20" s="3700"/>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07"/>
      <c r="Q22" s="1350"/>
      <c r="R22" s="703"/>
      <c r="S22" s="704"/>
      <c r="T22" s="703"/>
      <c r="U22" s="704"/>
      <c r="V22" s="703"/>
      <c r="W22" s="704"/>
      <c r="X22" s="1353"/>
      <c r="Y22" s="3700"/>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07"/>
      <c r="Q23" s="1350" t="str">
        <f>B23</f>
        <v>自然及人文环境</v>
      </c>
      <c r="R23" s="703" t="s">
        <v>18</v>
      </c>
      <c r="S23" s="704">
        <f>F23</f>
        <v>100</v>
      </c>
      <c r="T23" s="703" t="s">
        <v>18</v>
      </c>
      <c r="U23" s="704">
        <f>H23</f>
        <v>100</v>
      </c>
      <c r="V23" s="703" t="s">
        <v>18</v>
      </c>
      <c r="W23" s="704">
        <f>J23</f>
        <v>100</v>
      </c>
      <c r="X23" s="1353"/>
      <c r="Y23" s="370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07"/>
      <c r="Q24" s="1350"/>
      <c r="R24" s="703"/>
      <c r="S24" s="704"/>
      <c r="T24" s="703"/>
      <c r="U24" s="704"/>
      <c r="V24" s="703"/>
      <c r="W24" s="704"/>
      <c r="X24" s="1353"/>
      <c r="Y24" s="3700"/>
      <c r="Z24" s="1354"/>
      <c r="AA24" s="1351">
        <v>1</v>
      </c>
      <c r="AB24" s="1351">
        <v>1</v>
      </c>
      <c r="AC24" s="1351">
        <v>1</v>
      </c>
    </row>
    <row r="25" spans="1:29" ht="15">
      <c r="A25" s="379"/>
      <c r="B25" s="375" t="s">
        <v>1689</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0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0"/>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07"/>
      <c r="Q26" s="1350" t="str">
        <f t="shared" si="11"/>
        <v>朝向</v>
      </c>
      <c r="R26" s="703" t="s">
        <v>18</v>
      </c>
      <c r="S26" s="704">
        <f t="shared" si="12"/>
        <v>100</v>
      </c>
      <c r="T26" s="703" t="s">
        <v>18</v>
      </c>
      <c r="U26" s="704">
        <f t="shared" si="13"/>
        <v>100</v>
      </c>
      <c r="V26" s="703" t="s">
        <v>18</v>
      </c>
      <c r="W26" s="704">
        <f t="shared" si="14"/>
        <v>100</v>
      </c>
      <c r="X26" s="1353"/>
      <c r="Y26" s="370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07"/>
      <c r="Q27" s="1341">
        <f t="shared" si="11"/>
        <v>111</v>
      </c>
      <c r="R27" s="699" t="s">
        <v>18</v>
      </c>
      <c r="S27" s="700">
        <f t="shared" si="12"/>
        <v>100</v>
      </c>
      <c r="T27" s="699" t="s">
        <v>18</v>
      </c>
      <c r="U27" s="700">
        <f t="shared" si="13"/>
        <v>100</v>
      </c>
      <c r="V27" s="699" t="s">
        <v>18</v>
      </c>
      <c r="W27" s="700">
        <f t="shared" si="14"/>
        <v>100</v>
      </c>
      <c r="X27" s="701"/>
      <c r="Y27" s="370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07"/>
      <c r="Q28" s="1350">
        <f t="shared" si="11"/>
        <v>111</v>
      </c>
      <c r="R28" s="703" t="s">
        <v>18</v>
      </c>
      <c r="S28" s="704">
        <f t="shared" si="12"/>
        <v>100</v>
      </c>
      <c r="T28" s="703" t="s">
        <v>18</v>
      </c>
      <c r="U28" s="704">
        <f t="shared" si="13"/>
        <v>100</v>
      </c>
      <c r="V28" s="703" t="s">
        <v>18</v>
      </c>
      <c r="W28" s="704">
        <f t="shared" si="14"/>
        <v>100</v>
      </c>
      <c r="X28" s="1353"/>
      <c r="Y28" s="370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07"/>
      <c r="Q29" s="1350">
        <f t="shared" si="11"/>
        <v>111</v>
      </c>
      <c r="R29" s="703" t="s">
        <v>18</v>
      </c>
      <c r="S29" s="704">
        <f t="shared" si="12"/>
        <v>100</v>
      </c>
      <c r="T29" s="703" t="s">
        <v>18</v>
      </c>
      <c r="U29" s="704">
        <f t="shared" si="13"/>
        <v>100</v>
      </c>
      <c r="V29" s="703" t="s">
        <v>18</v>
      </c>
      <c r="W29" s="704">
        <f t="shared" si="14"/>
        <v>100</v>
      </c>
      <c r="X29" s="1353"/>
      <c r="Y29" s="370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07"/>
      <c r="Q30" s="1350">
        <f t="shared" si="11"/>
        <v>111</v>
      </c>
      <c r="R30" s="703" t="s">
        <v>18</v>
      </c>
      <c r="S30" s="704">
        <f t="shared" si="12"/>
        <v>100</v>
      </c>
      <c r="T30" s="703" t="s">
        <v>18</v>
      </c>
      <c r="U30" s="704">
        <f t="shared" si="13"/>
        <v>100</v>
      </c>
      <c r="V30" s="703" t="s">
        <v>18</v>
      </c>
      <c r="W30" s="704">
        <f t="shared" si="14"/>
        <v>100</v>
      </c>
      <c r="X30" s="1353"/>
      <c r="Y30" s="370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07"/>
      <c r="Q31" s="1350">
        <f t="shared" si="11"/>
        <v>111</v>
      </c>
      <c r="R31" s="703" t="s">
        <v>18</v>
      </c>
      <c r="S31" s="704">
        <f t="shared" si="12"/>
        <v>100</v>
      </c>
      <c r="T31" s="703" t="s">
        <v>18</v>
      </c>
      <c r="U31" s="704">
        <f t="shared" si="13"/>
        <v>100</v>
      </c>
      <c r="V31" s="703" t="s">
        <v>18</v>
      </c>
      <c r="W31" s="704">
        <f t="shared" si="14"/>
        <v>100</v>
      </c>
      <c r="X31" s="1353"/>
      <c r="Y31" s="3700"/>
      <c r="Z31" s="1354">
        <f t="shared" si="18"/>
        <v>111</v>
      </c>
      <c r="AA31" s="1351">
        <f t="shared" si="15"/>
        <v>1</v>
      </c>
      <c r="AB31" s="1351">
        <f t="shared" si="16"/>
        <v>1</v>
      </c>
      <c r="AC31" s="1351">
        <f t="shared" si="17"/>
        <v>1</v>
      </c>
    </row>
    <row r="32" spans="1:29" ht="15">
      <c r="A32" s="391" t="s">
        <v>1691</v>
      </c>
      <c r="B32" s="63" t="s">
        <v>1692</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01" t="s">
        <v>1693</v>
      </c>
      <c r="Q32" s="1350" t="str">
        <f t="shared" si="11"/>
        <v>建筑类型</v>
      </c>
      <c r="R32" s="703" t="s">
        <v>18</v>
      </c>
      <c r="S32" s="704">
        <f t="shared" si="12"/>
        <v>100</v>
      </c>
      <c r="T32" s="703" t="s">
        <v>18</v>
      </c>
      <c r="U32" s="704">
        <f t="shared" si="13"/>
        <v>100</v>
      </c>
      <c r="V32" s="703" t="s">
        <v>18</v>
      </c>
      <c r="W32" s="704">
        <f t="shared" si="14"/>
        <v>100</v>
      </c>
      <c r="X32" s="1353"/>
      <c r="Y32" s="3704" t="s">
        <v>1693</v>
      </c>
      <c r="Z32" s="1354" t="str">
        <f t="shared" si="18"/>
        <v>建筑类型</v>
      </c>
      <c r="AA32" s="1351">
        <f t="shared" si="15"/>
        <v>1</v>
      </c>
      <c r="AB32" s="1351">
        <f t="shared" si="16"/>
        <v>1</v>
      </c>
      <c r="AC32" s="1351">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51" t="e">
        <f t="shared" si="15"/>
        <v>#N/A</v>
      </c>
      <c r="AB33" s="1351" t="e">
        <f t="shared" si="16"/>
        <v>#N/A</v>
      </c>
      <c r="AC33" s="1351" t="e">
        <f t="shared" si="17"/>
        <v>#N/A</v>
      </c>
    </row>
    <row r="34" spans="1:29" ht="15">
      <c r="A34" s="423"/>
      <c r="B34" s="375" t="s">
        <v>1695</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02"/>
      <c r="Q34" s="1350" t="str">
        <f t="shared" si="11"/>
        <v>建筑结构</v>
      </c>
      <c r="R34" s="703" t="s">
        <v>18</v>
      </c>
      <c r="S34" s="704">
        <f t="shared" si="12"/>
        <v>100</v>
      </c>
      <c r="T34" s="703" t="s">
        <v>18</v>
      </c>
      <c r="U34" s="704">
        <f t="shared" si="13"/>
        <v>100</v>
      </c>
      <c r="V34" s="703" t="s">
        <v>18</v>
      </c>
      <c r="W34" s="704">
        <f t="shared" si="14"/>
        <v>100</v>
      </c>
      <c r="X34" s="1353"/>
      <c r="Y34" s="3704"/>
      <c r="Z34" s="1354" t="str">
        <f t="shared" si="18"/>
        <v>建筑结构</v>
      </c>
      <c r="AA34" s="1351">
        <f t="shared" si="15"/>
        <v>1</v>
      </c>
      <c r="AB34" s="1351">
        <f t="shared" si="16"/>
        <v>1</v>
      </c>
      <c r="AC34" s="1351">
        <f t="shared" si="17"/>
        <v>1</v>
      </c>
    </row>
    <row r="35" spans="1:29" ht="15">
      <c r="A35" s="423"/>
      <c r="B35" s="375" t="s">
        <v>1696</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02"/>
      <c r="Q35" s="1350" t="str">
        <f t="shared" si="11"/>
        <v>建筑品质</v>
      </c>
      <c r="R35" s="703" t="s">
        <v>18</v>
      </c>
      <c r="S35" s="704">
        <f t="shared" si="12"/>
        <v>100</v>
      </c>
      <c r="T35" s="703" t="s">
        <v>18</v>
      </c>
      <c r="U35" s="704">
        <f t="shared" si="13"/>
        <v>100</v>
      </c>
      <c r="V35" s="703" t="s">
        <v>18</v>
      </c>
      <c r="W35" s="704">
        <f t="shared" si="14"/>
        <v>100</v>
      </c>
      <c r="X35" s="1353"/>
      <c r="Y35" s="3704"/>
      <c r="Z35" s="1354" t="str">
        <f t="shared" si="18"/>
        <v>建筑品质</v>
      </c>
      <c r="AA35" s="1351">
        <f t="shared" si="15"/>
        <v>1</v>
      </c>
      <c r="AB35" s="1351">
        <f t="shared" si="16"/>
        <v>1</v>
      </c>
      <c r="AC35" s="1351">
        <f t="shared" si="17"/>
        <v>1</v>
      </c>
    </row>
    <row r="36" spans="1:29" ht="15">
      <c r="A36" s="423"/>
      <c r="B36" s="375" t="s">
        <v>1697</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02"/>
      <c r="Q36" s="1350" t="str">
        <f t="shared" si="11"/>
        <v>公共部分装修</v>
      </c>
      <c r="R36" s="703" t="s">
        <v>18</v>
      </c>
      <c r="S36" s="704">
        <f t="shared" si="12"/>
        <v>100</v>
      </c>
      <c r="T36" s="703" t="s">
        <v>18</v>
      </c>
      <c r="U36" s="704">
        <f t="shared" si="13"/>
        <v>100</v>
      </c>
      <c r="V36" s="703" t="s">
        <v>18</v>
      </c>
      <c r="W36" s="704">
        <f t="shared" si="14"/>
        <v>100</v>
      </c>
      <c r="X36" s="1353"/>
      <c r="Y36" s="3704"/>
      <c r="Z36" s="1354" t="str">
        <f t="shared" si="18"/>
        <v>公共部分装修</v>
      </c>
      <c r="AA36" s="1351">
        <f t="shared" si="15"/>
        <v>1</v>
      </c>
      <c r="AB36" s="1351">
        <f t="shared" si="16"/>
        <v>1</v>
      </c>
      <c r="AC36" s="1351">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02"/>
      <c r="Q37" s="1341"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1699</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02" t="s">
        <v>1693</v>
      </c>
      <c r="Q38" s="1350" t="str">
        <f t="shared" si="11"/>
        <v>物业管理</v>
      </c>
      <c r="R38" s="703" t="s">
        <v>18</v>
      </c>
      <c r="S38" s="704">
        <f t="shared" si="12"/>
        <v>100</v>
      </c>
      <c r="T38" s="703" t="s">
        <v>18</v>
      </c>
      <c r="U38" s="704">
        <f t="shared" si="13"/>
        <v>100</v>
      </c>
      <c r="V38" s="703" t="s">
        <v>18</v>
      </c>
      <c r="W38" s="704">
        <f t="shared" si="14"/>
        <v>100</v>
      </c>
      <c r="X38" s="1353"/>
      <c r="Y38" s="3704" t="s">
        <v>1693</v>
      </c>
      <c r="Z38" s="1354" t="str">
        <f t="shared" si="18"/>
        <v>物业管理</v>
      </c>
      <c r="AA38" s="1351">
        <f t="shared" si="15"/>
        <v>1</v>
      </c>
      <c r="AB38" s="1351">
        <f t="shared" si="16"/>
        <v>1</v>
      </c>
      <c r="AC38" s="1351">
        <f t="shared" si="17"/>
        <v>1</v>
      </c>
    </row>
    <row r="39" spans="1:29" ht="15">
      <c r="A39" s="423"/>
      <c r="B39" s="375" t="s">
        <v>1700</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02"/>
      <c r="Q39" s="1350" t="str">
        <f t="shared" si="11"/>
        <v>市政基础设施</v>
      </c>
      <c r="R39" s="703" t="s">
        <v>18</v>
      </c>
      <c r="S39" s="704">
        <f t="shared" si="12"/>
        <v>100</v>
      </c>
      <c r="T39" s="703" t="s">
        <v>18</v>
      </c>
      <c r="U39" s="704">
        <f t="shared" si="13"/>
        <v>100</v>
      </c>
      <c r="V39" s="703" t="s">
        <v>18</v>
      </c>
      <c r="W39" s="704">
        <f t="shared" si="14"/>
        <v>100</v>
      </c>
      <c r="X39" s="1353"/>
      <c r="Y39" s="3704"/>
      <c r="Z39" s="1354" t="str">
        <f t="shared" si="18"/>
        <v>市政基础设施</v>
      </c>
      <c r="AA39" s="1351">
        <f t="shared" si="15"/>
        <v>1</v>
      </c>
      <c r="AB39" s="1351">
        <f t="shared" si="16"/>
        <v>1</v>
      </c>
      <c r="AC39" s="1351">
        <f t="shared" si="17"/>
        <v>1</v>
      </c>
    </row>
    <row r="40" spans="1:29" ht="15">
      <c r="A40" s="423"/>
      <c r="B40" s="375" t="s">
        <v>1701</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02"/>
      <c r="Q40" s="1350" t="str">
        <f t="shared" si="11"/>
        <v>房型</v>
      </c>
      <c r="R40" s="703" t="s">
        <v>18</v>
      </c>
      <c r="S40" s="704">
        <f t="shared" si="12"/>
        <v>100</v>
      </c>
      <c r="T40" s="703" t="s">
        <v>18</v>
      </c>
      <c r="U40" s="704">
        <f t="shared" si="13"/>
        <v>100</v>
      </c>
      <c r="V40" s="703" t="s">
        <v>18</v>
      </c>
      <c r="W40" s="704">
        <f t="shared" si="14"/>
        <v>100</v>
      </c>
      <c r="X40" s="1353"/>
      <c r="Y40" s="3704"/>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51">
        <f t="shared" si="15"/>
        <v>1</v>
      </c>
      <c r="AB41" s="1351">
        <f t="shared" si="16"/>
        <v>1</v>
      </c>
      <c r="AC41" s="1351">
        <f t="shared" si="17"/>
        <v>1</v>
      </c>
    </row>
    <row r="42" spans="1:29" ht="15">
      <c r="A42" s="423"/>
      <c r="B42" s="375" t="s">
        <v>1703</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02"/>
      <c r="Q42" s="1350" t="str">
        <f t="shared" si="11"/>
        <v>内部装修</v>
      </c>
      <c r="R42" s="703" t="s">
        <v>18</v>
      </c>
      <c r="S42" s="704">
        <f t="shared" si="12"/>
        <v>100</v>
      </c>
      <c r="T42" s="703" t="s">
        <v>18</v>
      </c>
      <c r="U42" s="704">
        <f t="shared" si="13"/>
        <v>100</v>
      </c>
      <c r="V42" s="703" t="s">
        <v>18</v>
      </c>
      <c r="W42" s="704">
        <f t="shared" si="14"/>
        <v>100</v>
      </c>
      <c r="X42" s="1353"/>
      <c r="Y42" s="3704"/>
      <c r="Z42" s="1354" t="str">
        <f t="shared" si="18"/>
        <v>内部装修</v>
      </c>
      <c r="AA42" s="1351">
        <f t="shared" si="15"/>
        <v>1</v>
      </c>
      <c r="AB42" s="1351">
        <f t="shared" si="16"/>
        <v>1</v>
      </c>
      <c r="AC42" s="1351">
        <f t="shared" si="17"/>
        <v>1</v>
      </c>
    </row>
    <row r="43" spans="1:29" ht="15">
      <c r="A43" s="423"/>
      <c r="B43" s="375" t="s">
        <v>1704</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02"/>
      <c r="Q43" s="1350" t="str">
        <f t="shared" si="11"/>
        <v>内部装修维护情况</v>
      </c>
      <c r="R43" s="703" t="s">
        <v>18</v>
      </c>
      <c r="S43" s="704">
        <f t="shared" si="12"/>
        <v>100</v>
      </c>
      <c r="T43" s="703" t="s">
        <v>18</v>
      </c>
      <c r="U43" s="704">
        <f t="shared" si="13"/>
        <v>100</v>
      </c>
      <c r="V43" s="703" t="s">
        <v>18</v>
      </c>
      <c r="W43" s="704">
        <f t="shared" si="14"/>
        <v>100</v>
      </c>
      <c r="X43" s="1353"/>
      <c r="Y43" s="370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02"/>
      <c r="Q44" s="1341">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02"/>
      <c r="Q45" s="1350">
        <f t="shared" si="11"/>
        <v>111</v>
      </c>
      <c r="R45" s="703" t="s">
        <v>18</v>
      </c>
      <c r="S45" s="704">
        <f t="shared" si="12"/>
        <v>100</v>
      </c>
      <c r="T45" s="703" t="s">
        <v>18</v>
      </c>
      <c r="U45" s="704">
        <f t="shared" si="13"/>
        <v>100</v>
      </c>
      <c r="V45" s="703" t="s">
        <v>18</v>
      </c>
      <c r="W45" s="704">
        <f t="shared" si="14"/>
        <v>100</v>
      </c>
      <c r="X45" s="1353"/>
      <c r="Y45" s="370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03"/>
      <c r="Q46" s="1350">
        <f t="shared" si="11"/>
        <v>111</v>
      </c>
      <c r="R46" s="703" t="s">
        <v>17</v>
      </c>
      <c r="S46" s="704">
        <f t="shared" si="12"/>
        <v>100</v>
      </c>
      <c r="T46" s="703" t="s">
        <v>17</v>
      </c>
      <c r="U46" s="704">
        <f t="shared" si="13"/>
        <v>100</v>
      </c>
      <c r="V46" s="703" t="s">
        <v>17</v>
      </c>
      <c r="W46" s="704">
        <f t="shared" si="14"/>
        <v>100</v>
      </c>
      <c r="X46" s="1353"/>
      <c r="Y46" s="3705"/>
      <c r="Z46" s="1354">
        <f t="shared" si="18"/>
        <v>111</v>
      </c>
      <c r="AA46" s="1351">
        <f t="shared" si="15"/>
        <v>1</v>
      </c>
      <c r="AB46" s="1351">
        <f t="shared" si="16"/>
        <v>1</v>
      </c>
      <c r="AC46" s="1351">
        <f t="shared" si="17"/>
        <v>1</v>
      </c>
    </row>
    <row r="47" spans="1:29" ht="15">
      <c r="A47" s="430" t="s">
        <v>1705</v>
      </c>
      <c r="B47" s="431"/>
      <c r="C47" s="1152" t="s">
        <v>16</v>
      </c>
      <c r="D47" s="1153"/>
      <c r="E47" s="1154"/>
      <c r="F47" s="1155"/>
      <c r="G47" s="1156"/>
      <c r="H47" s="1157"/>
      <c r="I47" s="1154"/>
      <c r="J47" s="1157"/>
      <c r="K47" s="1912"/>
      <c r="L47" s="2717"/>
      <c r="M47" s="2718"/>
      <c r="N47" s="2709"/>
      <c r="O47" s="2718"/>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1706</v>
      </c>
      <c r="B48" s="438"/>
      <c r="C48" s="1158" t="e">
        <f>R49</f>
        <v>#DIV/0!</v>
      </c>
      <c r="D48" s="2315" t="s">
        <v>2133</v>
      </c>
      <c r="E48" s="1159" t="e">
        <f>R48</f>
        <v>#DIV/0!</v>
      </c>
      <c r="F48" s="2316"/>
      <c r="G48" s="1158" t="e">
        <f>T48</f>
        <v>#DIV/0!</v>
      </c>
      <c r="H48" s="2316"/>
      <c r="I48" s="1159" t="e">
        <f>V48</f>
        <v>#DIV/0!</v>
      </c>
      <c r="J48" s="2316"/>
      <c r="K48" s="2317">
        <f>F48+H48+J48</f>
        <v>0</v>
      </c>
      <c r="L48" s="2717"/>
      <c r="M48" s="2718"/>
      <c r="N48" s="2718"/>
      <c r="O48" s="2718"/>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1707</v>
      </c>
      <c r="B49" s="442"/>
      <c r="C49" s="1160" t="e">
        <f>R49</f>
        <v>#DIV/0!</v>
      </c>
      <c r="D49" s="1161"/>
      <c r="E49" s="1161"/>
      <c r="F49" s="1161"/>
      <c r="G49" s="1161"/>
      <c r="H49" s="1161"/>
      <c r="I49" s="1161"/>
      <c r="J49" s="1161"/>
      <c r="K49" s="1913"/>
      <c r="L49" s="2717"/>
      <c r="M49" s="2718"/>
      <c r="N49" s="2718"/>
      <c r="O49" s="271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1711</v>
      </c>
      <c r="B57" s="688"/>
      <c r="C57" s="693"/>
      <c r="D57" s="693"/>
      <c r="E57" s="693"/>
      <c r="F57" s="694"/>
      <c r="G57" s="694"/>
      <c r="H57" s="693"/>
      <c r="I57" s="693"/>
      <c r="J57" s="693"/>
      <c r="K57" s="939"/>
      <c r="L57" s="940"/>
      <c r="M57" s="938"/>
      <c r="N57" s="938"/>
      <c r="O57" s="938"/>
      <c r="P57" s="1916"/>
      <c r="Q57" s="453"/>
    </row>
    <row r="58" spans="1:29" s="457" customFormat="1" ht="15">
      <c r="A58" s="454" t="s">
        <v>1712</v>
      </c>
      <c r="B58" s="455"/>
      <c r="C58" s="1184" t="str">
        <f>YEAR(C7)&amp;"-"&amp;MONTH(C7)</f>
        <v>2023-4</v>
      </c>
      <c r="D58" s="1183">
        <f>EDATE(C58,-1)</f>
        <v>44986</v>
      </c>
      <c r="E58" s="1183">
        <f>EDATE(D58,-1)</f>
        <v>44958</v>
      </c>
      <c r="F58" s="1183">
        <f t="shared" ref="F58:O58" si="19">EDATE(E58,-1)</f>
        <v>44927</v>
      </c>
      <c r="G58" s="1183">
        <f t="shared" si="19"/>
        <v>44896</v>
      </c>
      <c r="H58" s="1183">
        <f t="shared" si="19"/>
        <v>44866</v>
      </c>
      <c r="I58" s="1183">
        <f t="shared" si="19"/>
        <v>44835</v>
      </c>
      <c r="J58" s="1183">
        <f t="shared" si="19"/>
        <v>44805</v>
      </c>
      <c r="K58" s="1183">
        <f t="shared" si="19"/>
        <v>44774</v>
      </c>
      <c r="L58" s="1183">
        <f t="shared" si="19"/>
        <v>44743</v>
      </c>
      <c r="M58" s="1183">
        <f t="shared" si="19"/>
        <v>44713</v>
      </c>
      <c r="N58" s="1183">
        <f t="shared" si="19"/>
        <v>44682</v>
      </c>
      <c r="O58" s="1183">
        <f t="shared" si="19"/>
        <v>44652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1713</v>
      </c>
      <c r="B60" s="465"/>
      <c r="C60" s="466"/>
      <c r="D60" s="467"/>
      <c r="E60" s="467"/>
      <c r="F60" s="467"/>
      <c r="G60" s="467"/>
      <c r="H60" s="467"/>
      <c r="I60" s="467"/>
      <c r="J60" s="467"/>
      <c r="K60" s="467"/>
      <c r="L60" s="467"/>
      <c r="M60" s="468"/>
      <c r="N60" s="467"/>
      <c r="O60" s="468"/>
      <c r="P60" s="1918"/>
      <c r="Q60" s="453"/>
    </row>
    <row r="61" spans="1:29" s="108" customFormat="1" ht="15">
      <c r="A61" s="470" t="s">
        <v>1714</v>
      </c>
      <c r="B61" s="459"/>
      <c r="C61" s="471" t="s">
        <v>1715</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1716</v>
      </c>
      <c r="B63" s="477" t="s">
        <v>1682</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1685</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1725</v>
      </c>
      <c r="D82" s="488" t="s">
        <v>1726</v>
      </c>
      <c r="E82" s="488" t="s">
        <v>1727</v>
      </c>
      <c r="F82" s="488" t="s">
        <v>1728</v>
      </c>
      <c r="G82" s="488" t="s">
        <v>1729</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1731</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1732</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1691</v>
      </c>
      <c r="B100" s="477" t="s">
        <v>1733</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1735</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1736</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1737</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1738</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1739</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1740</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1702</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1741</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7" t="s">
        <v>1746</v>
      </c>
      <c r="D138" s="137" t="s">
        <v>1747</v>
      </c>
      <c r="E138" s="1935" t="s">
        <v>1748</v>
      </c>
      <c r="F138" s="1936" t="s">
        <v>1749</v>
      </c>
      <c r="G138" s="137" t="s">
        <v>1747</v>
      </c>
      <c r="H138" s="138" t="s">
        <v>1748</v>
      </c>
      <c r="I138" s="1937"/>
      <c r="J138" s="137" t="s">
        <v>1750</v>
      </c>
      <c r="K138" s="138" t="s">
        <v>1751</v>
      </c>
    </row>
    <row r="139" spans="1:17" ht="15">
      <c r="B139" s="865">
        <v>6</v>
      </c>
      <c r="C139" s="866">
        <v>96</v>
      </c>
      <c r="D139" s="1938" t="s">
        <v>1752</v>
      </c>
      <c r="E139" s="867">
        <v>100</v>
      </c>
      <c r="F139" s="868">
        <v>102.5</v>
      </c>
      <c r="G139" s="1938" t="s">
        <v>1752</v>
      </c>
      <c r="H139" s="869">
        <v>105</v>
      </c>
      <c r="I139" s="1939" t="s">
        <v>1753</v>
      </c>
      <c r="J139" s="866">
        <v>20</v>
      </c>
      <c r="K139" s="870">
        <f>C145/(J139-2)</f>
        <v>4.0555555555555553E-3</v>
      </c>
    </row>
    <row r="140" spans="1:17" ht="15">
      <c r="B140" s="871">
        <v>5</v>
      </c>
      <c r="C140" s="872">
        <v>100</v>
      </c>
      <c r="D140" s="872"/>
      <c r="E140" s="873"/>
      <c r="F140" s="874">
        <v>102</v>
      </c>
      <c r="G140" s="872"/>
      <c r="H140" s="875"/>
      <c r="I140" s="1940" t="s">
        <v>1754</v>
      </c>
      <c r="J140" s="271">
        <f>ROUNDUP((J139-1)/2,0)</f>
        <v>10</v>
      </c>
      <c r="K140" s="876">
        <v>100</v>
      </c>
    </row>
    <row r="141" spans="1:17" ht="15">
      <c r="B141" s="871">
        <v>4</v>
      </c>
      <c r="C141" s="872">
        <v>102</v>
      </c>
      <c r="D141" s="872"/>
      <c r="E141" s="873"/>
      <c r="F141" s="874">
        <v>101.5</v>
      </c>
      <c r="G141" s="872"/>
      <c r="H141" s="875"/>
      <c r="I141" s="1940" t="s">
        <v>1755</v>
      </c>
      <c r="J141" s="271">
        <v>1</v>
      </c>
      <c r="K141" s="877">
        <f>ROUND(100+(J141-J140)*K139*100,1)</f>
        <v>96.4</v>
      </c>
    </row>
    <row r="142" spans="1:17" ht="15">
      <c r="B142" s="871">
        <v>3</v>
      </c>
      <c r="C142" s="872">
        <v>103</v>
      </c>
      <c r="D142" s="872"/>
      <c r="E142" s="873"/>
      <c r="F142" s="874">
        <v>101</v>
      </c>
      <c r="G142" s="872"/>
      <c r="H142" s="875"/>
      <c r="I142" s="1940" t="s">
        <v>1756</v>
      </c>
      <c r="J142" s="271">
        <f>J139</f>
        <v>20</v>
      </c>
      <c r="K142" s="878">
        <v>95</v>
      </c>
    </row>
    <row r="143" spans="1:17" ht="15">
      <c r="B143" s="871">
        <v>2</v>
      </c>
      <c r="C143" s="872">
        <v>100</v>
      </c>
      <c r="D143" s="872"/>
      <c r="E143" s="873"/>
      <c r="F143" s="874">
        <v>100.5</v>
      </c>
      <c r="G143" s="872"/>
      <c r="H143" s="875"/>
      <c r="I143" s="1940" t="s">
        <v>1757</v>
      </c>
      <c r="J143" s="872">
        <v>15</v>
      </c>
      <c r="K143" s="877">
        <f>ROUND(100+(J143-J140)*K139*100,1)</f>
        <v>102</v>
      </c>
    </row>
    <row r="144" spans="1:17" ht="15">
      <c r="B144" s="871">
        <v>1</v>
      </c>
      <c r="C144" s="872">
        <v>98</v>
      </c>
      <c r="D144" s="1941" t="s">
        <v>1758</v>
      </c>
      <c r="E144" s="873">
        <v>102</v>
      </c>
      <c r="F144" s="879">
        <v>100</v>
      </c>
      <c r="G144" s="1941" t="s">
        <v>1758</v>
      </c>
      <c r="H144" s="875">
        <v>105</v>
      </c>
      <c r="I144" s="1940" t="s">
        <v>1757</v>
      </c>
      <c r="J144" s="872">
        <v>18</v>
      </c>
      <c r="K144" s="877">
        <f>ROUND(100+(J144-J140)*K139*100,1)</f>
        <v>103.2</v>
      </c>
    </row>
    <row r="145" spans="2:11" ht="15.75" thickBot="1">
      <c r="B145" s="1942" t="s">
        <v>1759</v>
      </c>
      <c r="C145" s="880">
        <f>ROUND(MAX(C139:C144)/MIN(C139:C144)-1,3)</f>
        <v>7.2999999999999995E-2</v>
      </c>
      <c r="D145" s="881"/>
      <c r="E145" s="881"/>
      <c r="F145" s="1943" t="s">
        <v>1760</v>
      </c>
      <c r="G145" s="1944"/>
      <c r="H145" s="1945"/>
      <c r="I145" s="1946" t="s">
        <v>1757</v>
      </c>
      <c r="J145" s="882">
        <v>8</v>
      </c>
      <c r="K145" s="883">
        <f>ROUND(100+(J145-J140)*K139*100,1)</f>
        <v>99.2</v>
      </c>
    </row>
    <row r="147" spans="2:11">
      <c r="B147" s="1927" t="s">
        <v>1761</v>
      </c>
    </row>
    <row r="148" spans="2:11">
      <c r="B148" s="192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1763</v>
      </c>
      <c r="C1" s="1236" t="s">
        <v>1659</v>
      </c>
      <c r="D1" s="1223"/>
      <c r="E1" s="3421"/>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1459</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1461</v>
      </c>
      <c r="B3" s="558">
        <f>IF(C2="——",C49,ROUND(B2*10000/D3,0))</f>
        <v>0</v>
      </c>
      <c r="C3" s="354" t="s">
        <v>1765</v>
      </c>
      <c r="D3" s="353">
        <f>IF(D1="",'数据-汇总表'!E3,SUMIF('数据-汇总表'!$C19:$C33,D1,'数据-汇总表'!$E19:$E33))</f>
        <v>3455.7</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722" t="s">
        <v>1768</v>
      </c>
      <c r="S4" s="3723"/>
      <c r="T4" s="3722" t="s">
        <v>1769</v>
      </c>
      <c r="U4" s="3723"/>
      <c r="V4" s="3728" t="s">
        <v>1770</v>
      </c>
      <c r="W4" s="3728"/>
      <c r="X4" s="1353"/>
      <c r="Y4" s="3722" t="s">
        <v>1772</v>
      </c>
      <c r="Z4" s="3723"/>
      <c r="AA4" s="3709" t="s">
        <v>1768</v>
      </c>
      <c r="AB4" s="3728" t="s">
        <v>1769</v>
      </c>
      <c r="AC4" s="3709" t="s">
        <v>1770</v>
      </c>
    </row>
    <row r="5" spans="1:29" ht="15">
      <c r="A5" s="358"/>
      <c r="B5" s="359"/>
      <c r="C5" s="3731" t="s">
        <v>1670</v>
      </c>
      <c r="D5" s="3732"/>
      <c r="E5" s="3738" t="s">
        <v>1671</v>
      </c>
      <c r="F5" s="3739"/>
      <c r="G5" s="3731" t="s">
        <v>1672</v>
      </c>
      <c r="H5" s="3732"/>
      <c r="I5" s="3731" t="s">
        <v>1673</v>
      </c>
      <c r="J5" s="3732"/>
      <c r="K5" s="559"/>
      <c r="L5" s="2708"/>
      <c r="M5" s="2709"/>
      <c r="N5" s="2709"/>
      <c r="O5" s="2709"/>
      <c r="P5" s="3718"/>
      <c r="Q5" s="3719"/>
      <c r="R5" s="3724"/>
      <c r="S5" s="3725"/>
      <c r="T5" s="3724"/>
      <c r="U5" s="3725"/>
      <c r="V5" s="3728"/>
      <c r="W5" s="3728"/>
      <c r="X5" s="1353"/>
      <c r="Y5" s="3724"/>
      <c r="Z5" s="3725"/>
      <c r="AA5" s="3710"/>
      <c r="AB5" s="3728"/>
      <c r="AC5" s="3710"/>
    </row>
    <row r="6" spans="1:29" ht="15.75" thickBot="1">
      <c r="A6" s="360"/>
      <c r="B6" s="361"/>
      <c r="C6" s="3729" t="s">
        <v>1674</v>
      </c>
      <c r="D6" s="3730"/>
      <c r="E6" s="3736" t="s">
        <v>1674</v>
      </c>
      <c r="F6" s="3737"/>
      <c r="G6" s="3729" t="s">
        <v>1674</v>
      </c>
      <c r="H6" s="3730"/>
      <c r="I6" s="3729" t="s">
        <v>1674</v>
      </c>
      <c r="J6" s="3730"/>
      <c r="K6" s="559" t="s">
        <v>1675</v>
      </c>
      <c r="L6" s="2708"/>
      <c r="M6" s="2709"/>
      <c r="N6" s="2709"/>
      <c r="O6" s="2709"/>
      <c r="P6" s="3720"/>
      <c r="Q6" s="3721"/>
      <c r="R6" s="3724"/>
      <c r="S6" s="3725"/>
      <c r="T6" s="3726"/>
      <c r="U6" s="3727"/>
      <c r="V6" s="3728"/>
      <c r="W6" s="3728"/>
      <c r="X6" s="1353"/>
      <c r="Y6" s="3726"/>
      <c r="Z6" s="3727"/>
      <c r="AA6" s="3711"/>
      <c r="AB6" s="3728"/>
      <c r="AC6" s="3711"/>
    </row>
    <row r="7" spans="1:29" s="108" customFormat="1" ht="15.75" thickBot="1">
      <c r="A7" s="362" t="s">
        <v>1676</v>
      </c>
      <c r="B7" s="363"/>
      <c r="C7" s="364">
        <f>'数据-取费表'!B2</f>
        <v>45037</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33" t="s">
        <v>1677</v>
      </c>
      <c r="Q7" s="3735"/>
      <c r="R7" s="699" t="s">
        <v>14</v>
      </c>
      <c r="S7" s="700">
        <f t="shared" ref="S7:S15" si="0">F7</f>
        <v>0</v>
      </c>
      <c r="T7" s="699" t="s">
        <v>14</v>
      </c>
      <c r="U7" s="700">
        <f t="shared" ref="U7:U15" si="1">H7</f>
        <v>0</v>
      </c>
      <c r="V7" s="699" t="s">
        <v>14</v>
      </c>
      <c r="W7" s="700">
        <f t="shared" ref="W7:W15" si="2">J7</f>
        <v>0</v>
      </c>
      <c r="X7" s="701"/>
      <c r="Y7" s="3733" t="s">
        <v>1677</v>
      </c>
      <c r="Z7" s="3734"/>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33" t="s">
        <v>1680</v>
      </c>
      <c r="Q8" s="3734"/>
      <c r="R8" s="699" t="s">
        <v>14</v>
      </c>
      <c r="S8" s="700">
        <f t="shared" si="0"/>
        <v>100</v>
      </c>
      <c r="T8" s="699" t="s">
        <v>14</v>
      </c>
      <c r="U8" s="700">
        <f t="shared" si="1"/>
        <v>100</v>
      </c>
      <c r="V8" s="699" t="s">
        <v>14</v>
      </c>
      <c r="W8" s="700">
        <f t="shared" si="2"/>
        <v>100</v>
      </c>
      <c r="X8" s="701"/>
      <c r="Y8" s="3733" t="s">
        <v>1680</v>
      </c>
      <c r="Z8" s="3734"/>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08"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08"/>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08"/>
      <c r="Q11" s="1341" t="str">
        <f t="shared" si="6"/>
        <v>容积率</v>
      </c>
      <c r="R11" s="699" t="s">
        <v>14</v>
      </c>
      <c r="S11" s="700" t="e">
        <f t="shared" si="0"/>
        <v>#N/A</v>
      </c>
      <c r="T11" s="699" t="s">
        <v>14</v>
      </c>
      <c r="U11" s="700" t="e">
        <f t="shared" si="1"/>
        <v>#N/A</v>
      </c>
      <c r="V11" s="699" t="s">
        <v>14</v>
      </c>
      <c r="W11" s="700" t="e">
        <f t="shared" si="2"/>
        <v>#N/A</v>
      </c>
      <c r="X11" s="701"/>
      <c r="Y11" s="357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08"/>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08"/>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08"/>
      <c r="Q14" s="1341">
        <f t="shared" si="6"/>
        <v>111</v>
      </c>
      <c r="R14" s="699" t="s">
        <v>14</v>
      </c>
      <c r="S14" s="700">
        <f t="shared" si="0"/>
        <v>100</v>
      </c>
      <c r="T14" s="699" t="s">
        <v>14</v>
      </c>
      <c r="U14" s="700">
        <f t="shared" si="1"/>
        <v>100</v>
      </c>
      <c r="V14" s="699" t="s">
        <v>14</v>
      </c>
      <c r="W14" s="700">
        <f t="shared" si="2"/>
        <v>100</v>
      </c>
      <c r="X14" s="701"/>
      <c r="Y14" s="3578"/>
      <c r="Z14" s="52">
        <f t="shared" si="7"/>
        <v>111</v>
      </c>
      <c r="AA14" s="702">
        <f t="shared" si="3"/>
        <v>1</v>
      </c>
      <c r="AB14" s="702">
        <f t="shared" si="4"/>
        <v>1</v>
      </c>
      <c r="AC14" s="702">
        <f t="shared" si="5"/>
        <v>1</v>
      </c>
    </row>
    <row r="15" spans="1:29" ht="15">
      <c r="A15" s="391" t="s">
        <v>1687</v>
      </c>
      <c r="B15" s="61" t="s">
        <v>1774</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06" t="s">
        <v>1688</v>
      </c>
      <c r="Q15" s="1350" t="str">
        <f t="shared" si="6"/>
        <v>商业繁华度</v>
      </c>
      <c r="R15" s="703" t="s">
        <v>14</v>
      </c>
      <c r="S15" s="704">
        <f t="shared" si="0"/>
        <v>100</v>
      </c>
      <c r="T15" s="703" t="s">
        <v>14</v>
      </c>
      <c r="U15" s="704">
        <f t="shared" si="1"/>
        <v>100</v>
      </c>
      <c r="V15" s="703" t="s">
        <v>14</v>
      </c>
      <c r="W15" s="704">
        <f t="shared" si="2"/>
        <v>100</v>
      </c>
      <c r="X15" s="1353"/>
      <c r="Y15" s="3699" t="s">
        <v>1688</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07"/>
      <c r="Q16" s="1350"/>
      <c r="R16" s="703"/>
      <c r="S16" s="704"/>
      <c r="T16" s="703"/>
      <c r="U16" s="704"/>
      <c r="V16" s="703"/>
      <c r="W16" s="704"/>
      <c r="X16" s="1353"/>
      <c r="Y16" s="3700"/>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07"/>
      <c r="Q18" s="1350"/>
      <c r="R18" s="703"/>
      <c r="S18" s="704"/>
      <c r="T18" s="703"/>
      <c r="U18" s="704"/>
      <c r="V18" s="703"/>
      <c r="W18" s="704"/>
      <c r="X18" s="1353"/>
      <c r="Y18" s="3700"/>
      <c r="Z18" s="1354"/>
      <c r="AA18" s="1351">
        <v>1</v>
      </c>
      <c r="AB18" s="1351">
        <v>1</v>
      </c>
      <c r="AC18" s="1351">
        <v>1</v>
      </c>
    </row>
    <row r="19" spans="1:29" ht="85.5">
      <c r="A19" s="379"/>
      <c r="B19" s="402" t="s">
        <v>1775</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07"/>
      <c r="Q20" s="1350"/>
      <c r="R20" s="703"/>
      <c r="S20" s="704"/>
      <c r="T20" s="703"/>
      <c r="U20" s="704"/>
      <c r="V20" s="703"/>
      <c r="W20" s="704"/>
      <c r="X20" s="1353"/>
      <c r="Y20" s="3700"/>
      <c r="Z20" s="1354"/>
      <c r="AA20" s="1351">
        <v>1</v>
      </c>
      <c r="AB20" s="1351">
        <v>1</v>
      </c>
      <c r="AC20" s="1351">
        <v>1</v>
      </c>
    </row>
    <row r="21" spans="1:29" ht="42.75">
      <c r="A21" s="379"/>
      <c r="B21" s="1129" t="s">
        <v>1776</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07"/>
      <c r="Q22" s="1350"/>
      <c r="R22" s="703"/>
      <c r="S22" s="704"/>
      <c r="T22" s="703"/>
      <c r="U22" s="704"/>
      <c r="V22" s="703"/>
      <c r="W22" s="704"/>
      <c r="X22" s="1353"/>
      <c r="Y22" s="3700"/>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07"/>
      <c r="Q23" s="1350" t="str">
        <f>B23</f>
        <v>自然及人文环境</v>
      </c>
      <c r="R23" s="703" t="s">
        <v>14</v>
      </c>
      <c r="S23" s="704">
        <f>F23</f>
        <v>100</v>
      </c>
      <c r="T23" s="703" t="s">
        <v>14</v>
      </c>
      <c r="U23" s="704">
        <f>H23</f>
        <v>100</v>
      </c>
      <c r="V23" s="703" t="s">
        <v>14</v>
      </c>
      <c r="W23" s="704">
        <f>J23</f>
        <v>100</v>
      </c>
      <c r="X23" s="1353"/>
      <c r="Y23" s="370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07"/>
      <c r="Q24" s="1350"/>
      <c r="R24" s="703"/>
      <c r="S24" s="704"/>
      <c r="T24" s="703"/>
      <c r="U24" s="704"/>
      <c r="V24" s="703"/>
      <c r="W24" s="704"/>
      <c r="X24" s="1353"/>
      <c r="Y24" s="3700"/>
      <c r="Z24" s="1354"/>
      <c r="AA24" s="1351">
        <v>1</v>
      </c>
      <c r="AB24" s="1351">
        <v>1</v>
      </c>
      <c r="AC24" s="1351">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07"/>
      <c r="Q25" s="1350" t="str">
        <f t="shared" ref="Q25:Q46" si="11">B25</f>
        <v>临街状况</v>
      </c>
      <c r="R25" s="703" t="s">
        <v>14</v>
      </c>
      <c r="S25" s="704">
        <f>F25</f>
        <v>100</v>
      </c>
      <c r="T25" s="703" t="s">
        <v>14</v>
      </c>
      <c r="U25" s="704">
        <f>H25</f>
        <v>100</v>
      </c>
      <c r="V25" s="703" t="s">
        <v>14</v>
      </c>
      <c r="W25" s="704">
        <f>J25</f>
        <v>100</v>
      </c>
      <c r="X25" s="1353"/>
      <c r="Y25" s="3700"/>
      <c r="Z25" s="1354" t="str">
        <f>Q25</f>
        <v>临街状况</v>
      </c>
      <c r="AA25" s="1351">
        <f t="shared" si="3"/>
        <v>1</v>
      </c>
      <c r="AB25" s="1351">
        <f t="shared" si="4"/>
        <v>1</v>
      </c>
      <c r="AC25" s="1351">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07"/>
      <c r="Q26" s="1350" t="str">
        <f t="shared" si="11"/>
        <v>平面位置/可视性</v>
      </c>
      <c r="R26" s="703" t="s">
        <v>14</v>
      </c>
      <c r="S26" s="704">
        <f>F26</f>
        <v>100</v>
      </c>
      <c r="T26" s="703" t="s">
        <v>14</v>
      </c>
      <c r="U26" s="704">
        <f>H26</f>
        <v>100</v>
      </c>
      <c r="V26" s="703" t="s">
        <v>14</v>
      </c>
      <c r="W26" s="704">
        <f>J26</f>
        <v>100</v>
      </c>
      <c r="X26" s="1353"/>
      <c r="Y26" s="3700"/>
      <c r="Z26" s="1354" t="str">
        <f>Q26</f>
        <v>平面位置/可视性</v>
      </c>
      <c r="AA26" s="1351">
        <f t="shared" si="3"/>
        <v>1</v>
      </c>
      <c r="AB26" s="1351">
        <f t="shared" si="4"/>
        <v>1</v>
      </c>
      <c r="AC26" s="1351">
        <f t="shared" si="5"/>
        <v>1</v>
      </c>
    </row>
    <row r="27" spans="1:29" s="108" customFormat="1" ht="15">
      <c r="A27" s="382"/>
      <c r="B27" s="402" t="s">
        <v>1779</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07"/>
      <c r="Q27" s="1341" t="str">
        <f t="shared" si="11"/>
        <v>人流量</v>
      </c>
      <c r="R27" s="699" t="s">
        <v>14</v>
      </c>
      <c r="S27" s="700">
        <f>F27</f>
        <v>100</v>
      </c>
      <c r="T27" s="699" t="s">
        <v>14</v>
      </c>
      <c r="U27" s="700">
        <f>H27</f>
        <v>100</v>
      </c>
      <c r="V27" s="699" t="s">
        <v>14</v>
      </c>
      <c r="W27" s="700">
        <f>J27</f>
        <v>100</v>
      </c>
      <c r="X27" s="701"/>
      <c r="Y27" s="3700"/>
      <c r="Z27" s="52" t="str">
        <f>Q27</f>
        <v>人流量</v>
      </c>
      <c r="AA27" s="1351">
        <f>D27/F27</f>
        <v>1</v>
      </c>
      <c r="AB27" s="1351">
        <f>D27/H27</f>
        <v>1</v>
      </c>
      <c r="AC27" s="1351">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0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07"/>
      <c r="Q29" s="1350">
        <f t="shared" si="11"/>
        <v>111</v>
      </c>
      <c r="R29" s="703" t="s">
        <v>14</v>
      </c>
      <c r="S29" s="704">
        <f t="shared" si="12"/>
        <v>100</v>
      </c>
      <c r="T29" s="703" t="s">
        <v>14</v>
      </c>
      <c r="U29" s="704">
        <f t="shared" si="13"/>
        <v>100</v>
      </c>
      <c r="V29" s="703" t="s">
        <v>14</v>
      </c>
      <c r="W29" s="704">
        <f t="shared" si="14"/>
        <v>100</v>
      </c>
      <c r="X29" s="1353"/>
      <c r="Y29" s="370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351">
        <f t="shared" si="5"/>
        <v>1</v>
      </c>
    </row>
    <row r="32" spans="1:29" ht="15">
      <c r="A32" s="391" t="s">
        <v>1691</v>
      </c>
      <c r="B32" s="63" t="s">
        <v>1781</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01" t="s">
        <v>1693</v>
      </c>
      <c r="Q32" s="1350" t="str">
        <f t="shared" si="11"/>
        <v>商业类型</v>
      </c>
      <c r="R32" s="703" t="s">
        <v>14</v>
      </c>
      <c r="S32" s="704">
        <f t="shared" si="12"/>
        <v>100</v>
      </c>
      <c r="T32" s="703" t="s">
        <v>14</v>
      </c>
      <c r="U32" s="704">
        <f t="shared" si="13"/>
        <v>100</v>
      </c>
      <c r="V32" s="703" t="s">
        <v>14</v>
      </c>
      <c r="W32" s="704">
        <f t="shared" si="14"/>
        <v>100</v>
      </c>
      <c r="X32" s="1353"/>
      <c r="Y32" s="3704" t="s">
        <v>1693</v>
      </c>
      <c r="Z32" s="1354" t="str">
        <f t="shared" si="15"/>
        <v>商业类型</v>
      </c>
      <c r="AA32" s="1351">
        <f t="shared" si="3"/>
        <v>1</v>
      </c>
      <c r="AB32" s="1351">
        <f t="shared" si="4"/>
        <v>1</v>
      </c>
      <c r="AC32" s="1351">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51" t="e">
        <f t="shared" si="3"/>
        <v>#N/A</v>
      </c>
      <c r="AB33" s="1351" t="e">
        <f t="shared" si="4"/>
        <v>#N/A</v>
      </c>
      <c r="AC33" s="1351" t="e">
        <f t="shared" si="5"/>
        <v>#N/A</v>
      </c>
    </row>
    <row r="34" spans="1:29" ht="15">
      <c r="A34" s="423"/>
      <c r="B34" s="375" t="s">
        <v>1695</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02"/>
      <c r="Q34" s="1350" t="str">
        <f t="shared" si="11"/>
        <v>建筑结构</v>
      </c>
      <c r="R34" s="703" t="s">
        <v>14</v>
      </c>
      <c r="S34" s="704">
        <f t="shared" si="12"/>
        <v>100</v>
      </c>
      <c r="T34" s="703" t="s">
        <v>14</v>
      </c>
      <c r="U34" s="704">
        <f t="shared" si="13"/>
        <v>100</v>
      </c>
      <c r="V34" s="703" t="s">
        <v>14</v>
      </c>
      <c r="W34" s="704">
        <f t="shared" si="14"/>
        <v>100</v>
      </c>
      <c r="X34" s="1353"/>
      <c r="Y34" s="3704"/>
      <c r="Z34" s="1354" t="str">
        <f t="shared" si="15"/>
        <v>建筑结构</v>
      </c>
      <c r="AA34" s="1351">
        <f t="shared" si="3"/>
        <v>1</v>
      </c>
      <c r="AB34" s="1351">
        <f t="shared" si="4"/>
        <v>1</v>
      </c>
      <c r="AC34" s="1351">
        <f t="shared" si="5"/>
        <v>1</v>
      </c>
    </row>
    <row r="35" spans="1:29" ht="15">
      <c r="A35" s="423"/>
      <c r="B35" s="375" t="s">
        <v>1782</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02"/>
      <c r="Q35" s="1350" t="str">
        <f t="shared" si="11"/>
        <v>公共部分装修</v>
      </c>
      <c r="R35" s="703" t="s">
        <v>14</v>
      </c>
      <c r="S35" s="704">
        <f t="shared" si="12"/>
        <v>100</v>
      </c>
      <c r="T35" s="703" t="s">
        <v>14</v>
      </c>
      <c r="U35" s="704">
        <f t="shared" si="13"/>
        <v>100</v>
      </c>
      <c r="V35" s="703" t="s">
        <v>14</v>
      </c>
      <c r="W35" s="704">
        <f t="shared" si="14"/>
        <v>100</v>
      </c>
      <c r="X35" s="1353"/>
      <c r="Y35" s="3704"/>
      <c r="Z35" s="1354" t="str">
        <f t="shared" si="15"/>
        <v>公共部分装修</v>
      </c>
      <c r="AA35" s="1351">
        <f t="shared" si="3"/>
        <v>1</v>
      </c>
      <c r="AB35" s="1351">
        <f t="shared" si="4"/>
        <v>1</v>
      </c>
      <c r="AC35" s="1351">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02"/>
      <c r="Q36" s="1350" t="str">
        <f t="shared" si="11"/>
        <v>成新度</v>
      </c>
      <c r="R36" s="703" t="s">
        <v>14</v>
      </c>
      <c r="S36" s="704" t="e">
        <f t="shared" si="12"/>
        <v>#N/A</v>
      </c>
      <c r="T36" s="703" t="s">
        <v>14</v>
      </c>
      <c r="U36" s="704" t="e">
        <f t="shared" si="13"/>
        <v>#N/A</v>
      </c>
      <c r="V36" s="703" t="s">
        <v>14</v>
      </c>
      <c r="W36" s="704" t="e">
        <f t="shared" si="14"/>
        <v>#N/A</v>
      </c>
      <c r="X36" s="1353"/>
      <c r="Y36" s="3704"/>
      <c r="Z36" s="1354" t="str">
        <f t="shared" si="15"/>
        <v>成新度</v>
      </c>
      <c r="AA36" s="1351" t="e">
        <f t="shared" si="3"/>
        <v>#N/A</v>
      </c>
      <c r="AB36" s="1351" t="e">
        <f t="shared" si="4"/>
        <v>#N/A</v>
      </c>
      <c r="AC36" s="1351" t="e">
        <f t="shared" si="5"/>
        <v>#N/A</v>
      </c>
    </row>
    <row r="37" spans="1:29" s="108" customFormat="1" ht="15">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02"/>
      <c r="Q37" s="1341"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1785</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02" t="s">
        <v>1693</v>
      </c>
      <c r="Q38" s="1350" t="str">
        <f t="shared" si="11"/>
        <v>业态</v>
      </c>
      <c r="R38" s="703" t="s">
        <v>14</v>
      </c>
      <c r="S38" s="704">
        <f t="shared" si="12"/>
        <v>100</v>
      </c>
      <c r="T38" s="703" t="s">
        <v>14</v>
      </c>
      <c r="U38" s="704">
        <f t="shared" si="13"/>
        <v>100</v>
      </c>
      <c r="V38" s="703" t="s">
        <v>14</v>
      </c>
      <c r="W38" s="704">
        <f t="shared" si="14"/>
        <v>100</v>
      </c>
      <c r="X38" s="1353"/>
      <c r="Y38" s="3704" t="s">
        <v>1693</v>
      </c>
      <c r="Z38" s="1354" t="str">
        <f t="shared" si="15"/>
        <v>业态</v>
      </c>
      <c r="AA38" s="1351">
        <f t="shared" si="3"/>
        <v>1</v>
      </c>
      <c r="AB38" s="1351">
        <f t="shared" si="4"/>
        <v>1</v>
      </c>
      <c r="AC38" s="1351">
        <f t="shared" si="5"/>
        <v>1</v>
      </c>
    </row>
    <row r="39" spans="1:29" ht="15">
      <c r="A39" s="423"/>
      <c r="B39" s="375" t="s">
        <v>1786</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02"/>
      <c r="Q39" s="1350" t="str">
        <f t="shared" si="11"/>
        <v>层高</v>
      </c>
      <c r="R39" s="703" t="s">
        <v>14</v>
      </c>
      <c r="S39" s="704">
        <f t="shared" si="12"/>
        <v>100</v>
      </c>
      <c r="T39" s="703" t="s">
        <v>14</v>
      </c>
      <c r="U39" s="704">
        <f t="shared" si="13"/>
        <v>100</v>
      </c>
      <c r="V39" s="703" t="s">
        <v>14</v>
      </c>
      <c r="W39" s="704">
        <f t="shared" si="14"/>
        <v>100</v>
      </c>
      <c r="X39" s="1353"/>
      <c r="Y39" s="3704"/>
      <c r="Z39" s="1354" t="str">
        <f t="shared" si="15"/>
        <v>层高</v>
      </c>
      <c r="AA39" s="1351">
        <f t="shared" si="3"/>
        <v>1</v>
      </c>
      <c r="AB39" s="1351">
        <f t="shared" si="4"/>
        <v>1</v>
      </c>
      <c r="AC39" s="1351">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02"/>
      <c r="Q40" s="1350" t="str">
        <f t="shared" si="11"/>
        <v>单套建筑面积</v>
      </c>
      <c r="R40" s="703" t="s">
        <v>14</v>
      </c>
      <c r="S40" s="704">
        <f t="shared" si="12"/>
        <v>100</v>
      </c>
      <c r="T40" s="703" t="s">
        <v>14</v>
      </c>
      <c r="U40" s="704">
        <f t="shared" si="13"/>
        <v>100</v>
      </c>
      <c r="V40" s="703" t="s">
        <v>14</v>
      </c>
      <c r="W40" s="704">
        <f t="shared" si="14"/>
        <v>100</v>
      </c>
      <c r="X40" s="1353"/>
      <c r="Y40" s="3704"/>
      <c r="Z40" s="1354" t="str">
        <f t="shared" si="15"/>
        <v>单套建筑面积</v>
      </c>
      <c r="AA40" s="1351">
        <f t="shared" si="3"/>
        <v>1</v>
      </c>
      <c r="AB40" s="1351">
        <f t="shared" si="4"/>
        <v>1</v>
      </c>
      <c r="AC40" s="1351">
        <f t="shared" si="5"/>
        <v>1</v>
      </c>
    </row>
    <row r="41" spans="1:29" s="422" customFormat="1" ht="15">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51">
        <f t="shared" si="3"/>
        <v>1</v>
      </c>
      <c r="AB41" s="1351">
        <f t="shared" si="4"/>
        <v>1</v>
      </c>
      <c r="AC41" s="1351">
        <f t="shared" si="5"/>
        <v>1</v>
      </c>
    </row>
    <row r="42" spans="1:29" ht="15">
      <c r="A42" s="423"/>
      <c r="B42" s="375" t="s">
        <v>1789</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02"/>
      <c r="Q42" s="1350" t="str">
        <f t="shared" si="11"/>
        <v>内部装修</v>
      </c>
      <c r="R42" s="703" t="s">
        <v>14</v>
      </c>
      <c r="S42" s="704">
        <f t="shared" si="12"/>
        <v>100</v>
      </c>
      <c r="T42" s="703" t="s">
        <v>14</v>
      </c>
      <c r="U42" s="704">
        <f t="shared" si="13"/>
        <v>100</v>
      </c>
      <c r="V42" s="703" t="s">
        <v>14</v>
      </c>
      <c r="W42" s="704">
        <f t="shared" si="14"/>
        <v>100</v>
      </c>
      <c r="X42" s="1353"/>
      <c r="Y42" s="3704"/>
      <c r="Z42" s="1354" t="str">
        <f t="shared" si="15"/>
        <v>内部装修</v>
      </c>
      <c r="AA42" s="1351">
        <f t="shared" si="3"/>
        <v>1</v>
      </c>
      <c r="AB42" s="1351">
        <f t="shared" si="4"/>
        <v>1</v>
      </c>
      <c r="AC42" s="1351">
        <f t="shared" si="5"/>
        <v>1</v>
      </c>
    </row>
    <row r="43" spans="1:29" ht="15">
      <c r="A43" s="423"/>
      <c r="B43" s="375" t="s">
        <v>1704</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02"/>
      <c r="Q43" s="1350" t="str">
        <f t="shared" si="11"/>
        <v>内部装修维护情况</v>
      </c>
      <c r="R43" s="703" t="s">
        <v>14</v>
      </c>
      <c r="S43" s="704">
        <f t="shared" si="12"/>
        <v>100</v>
      </c>
      <c r="T43" s="703" t="s">
        <v>14</v>
      </c>
      <c r="U43" s="704">
        <f t="shared" si="13"/>
        <v>100</v>
      </c>
      <c r="V43" s="703" t="s">
        <v>14</v>
      </c>
      <c r="W43" s="704">
        <f t="shared" si="14"/>
        <v>100</v>
      </c>
      <c r="X43" s="1353"/>
      <c r="Y43" s="370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02"/>
      <c r="Q44" s="1341">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02"/>
      <c r="Q45" s="1350">
        <f t="shared" si="11"/>
        <v>111</v>
      </c>
      <c r="R45" s="703" t="s">
        <v>14</v>
      </c>
      <c r="S45" s="704">
        <f t="shared" si="12"/>
        <v>100</v>
      </c>
      <c r="T45" s="703" t="s">
        <v>14</v>
      </c>
      <c r="U45" s="704">
        <f t="shared" si="13"/>
        <v>100</v>
      </c>
      <c r="V45" s="703" t="s">
        <v>14</v>
      </c>
      <c r="W45" s="704">
        <f t="shared" si="14"/>
        <v>100</v>
      </c>
      <c r="X45" s="1353"/>
      <c r="Y45" s="370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351">
        <f t="shared" si="5"/>
        <v>1</v>
      </c>
    </row>
    <row r="47" spans="1:29" ht="15">
      <c r="A47" s="430" t="s">
        <v>1705</v>
      </c>
      <c r="B47" s="431"/>
      <c r="C47" s="1152" t="s">
        <v>0</v>
      </c>
      <c r="D47" s="1153"/>
      <c r="E47" s="1154"/>
      <c r="F47" s="1155"/>
      <c r="G47" s="1156"/>
      <c r="H47" s="1157"/>
      <c r="I47" s="1154"/>
      <c r="J47" s="1157"/>
      <c r="K47" s="712"/>
      <c r="L47" s="2717"/>
      <c r="M47" s="2718"/>
      <c r="N47" s="2709"/>
      <c r="O47" s="2718"/>
      <c r="P47" s="3697" t="str">
        <f>A47</f>
        <v>成交单价（元/平方米）</v>
      </c>
      <c r="Q47" s="3697"/>
      <c r="R47" s="3728">
        <f>E47</f>
        <v>0</v>
      </c>
      <c r="S47" s="3728"/>
      <c r="T47" s="3728">
        <f>G47</f>
        <v>0</v>
      </c>
      <c r="U47" s="3728"/>
      <c r="V47" s="3728">
        <f>I47</f>
        <v>0</v>
      </c>
      <c r="W47" s="3728"/>
      <c r="X47" s="688"/>
      <c r="Y47" s="710"/>
      <c r="Z47" s="688"/>
      <c r="AA47" s="688"/>
      <c r="AB47" s="688"/>
      <c r="AC47" s="688"/>
    </row>
    <row r="48" spans="1:29" ht="15.75" thickBot="1">
      <c r="A48" s="437" t="s">
        <v>1790</v>
      </c>
      <c r="B48" s="438"/>
      <c r="C48" s="1158" t="e">
        <f>R49</f>
        <v>#DIV/0!</v>
      </c>
      <c r="D48" s="2315" t="s">
        <v>2133</v>
      </c>
      <c r="E48" s="1159" t="e">
        <f>R48</f>
        <v>#DIV/0!</v>
      </c>
      <c r="F48" s="2316"/>
      <c r="G48" s="1158" t="e">
        <f>T48</f>
        <v>#DIV/0!</v>
      </c>
      <c r="H48" s="2316"/>
      <c r="I48" s="1159" t="e">
        <f>V48</f>
        <v>#DIV/0!</v>
      </c>
      <c r="J48" s="2316"/>
      <c r="K48" s="2318">
        <f>F48+H48+J48</f>
        <v>0</v>
      </c>
      <c r="L48" s="2717"/>
      <c r="M48" s="2718"/>
      <c r="N48" s="2709"/>
      <c r="O48" s="2718"/>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1791</v>
      </c>
      <c r="B49" s="442"/>
      <c r="C49" s="1161" t="e">
        <f>R49</f>
        <v>#DIV/0!</v>
      </c>
      <c r="D49" s="1161"/>
      <c r="E49" s="1161"/>
      <c r="F49" s="1161"/>
      <c r="G49" s="1161"/>
      <c r="H49" s="1161"/>
      <c r="I49" s="1161"/>
      <c r="J49" s="1161"/>
      <c r="K49" s="713"/>
      <c r="L49" s="2717"/>
      <c r="M49" s="2718"/>
      <c r="N49" s="2709"/>
      <c r="O49" s="2718"/>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1795</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1676</v>
      </c>
      <c r="B58" s="455"/>
      <c r="C58" s="1182" t="str">
        <f>YEAR(C7)&amp;"-"&amp;MONTH(C7)</f>
        <v>2023-4</v>
      </c>
      <c r="D58" s="1183">
        <f>EDATE(C58,-1)</f>
        <v>44986</v>
      </c>
      <c r="E58" s="1183">
        <f t="shared" ref="E58:N58" si="16">EDATE(D58,-1)</f>
        <v>44958</v>
      </c>
      <c r="F58" s="1183">
        <f t="shared" si="16"/>
        <v>44927</v>
      </c>
      <c r="G58" s="1183">
        <f t="shared" si="16"/>
        <v>44896</v>
      </c>
      <c r="H58" s="1183">
        <f t="shared" si="16"/>
        <v>44866</v>
      </c>
      <c r="I58" s="1183">
        <f t="shared" si="16"/>
        <v>44835</v>
      </c>
      <c r="J58" s="1183">
        <f t="shared" si="16"/>
        <v>44805</v>
      </c>
      <c r="K58" s="1183">
        <f t="shared" si="16"/>
        <v>44774</v>
      </c>
      <c r="L58" s="1183">
        <f t="shared" si="16"/>
        <v>44743</v>
      </c>
      <c r="M58" s="1183">
        <f t="shared" si="16"/>
        <v>44713</v>
      </c>
      <c r="N58" s="1183">
        <f t="shared" si="16"/>
        <v>44682</v>
      </c>
      <c r="O58" s="1183">
        <f>EDATE(N58,-1)</f>
        <v>44652</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1713</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1678</v>
      </c>
      <c r="B61" s="459"/>
      <c r="C61" s="471" t="s">
        <v>1773</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1716</v>
      </c>
      <c r="B63" s="477" t="s">
        <v>1682</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1685</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1687</v>
      </c>
      <c r="B76" s="477" t="s">
        <v>1717</v>
      </c>
      <c r="C76" s="522" t="s">
        <v>1718</v>
      </c>
      <c r="D76" s="522" t="s">
        <v>1719</v>
      </c>
      <c r="E76" s="522" t="s">
        <v>1720</v>
      </c>
      <c r="F76" s="522" t="s">
        <v>1721</v>
      </c>
      <c r="G76" s="522" t="s">
        <v>1722</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1723</v>
      </c>
      <c r="C78" s="527" t="s">
        <v>1718</v>
      </c>
      <c r="D78" s="527" t="s">
        <v>1719</v>
      </c>
      <c r="E78" s="527" t="s">
        <v>1720</v>
      </c>
      <c r="F78" s="527" t="s">
        <v>1721</v>
      </c>
      <c r="G78" s="527" t="s">
        <v>1722</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1724</v>
      </c>
      <c r="C80" s="527" t="s">
        <v>1718</v>
      </c>
      <c r="D80" s="527" t="s">
        <v>1719</v>
      </c>
      <c r="E80" s="527" t="s">
        <v>1720</v>
      </c>
      <c r="F80" s="527" t="s">
        <v>1721</v>
      </c>
      <c r="G80" s="527" t="s">
        <v>1722</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1776</v>
      </c>
      <c r="C82" s="608" t="s">
        <v>1796</v>
      </c>
      <c r="D82" s="608" t="s">
        <v>1797</v>
      </c>
      <c r="E82" s="608" t="s">
        <v>1798</v>
      </c>
      <c r="F82" s="608" t="s">
        <v>1799</v>
      </c>
      <c r="G82" s="608" t="s">
        <v>1800</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1730</v>
      </c>
      <c r="C84" s="527" t="s">
        <v>1718</v>
      </c>
      <c r="D84" s="527" t="s">
        <v>1719</v>
      </c>
      <c r="E84" s="527" t="s">
        <v>1720</v>
      </c>
      <c r="F84" s="527" t="s">
        <v>1721</v>
      </c>
      <c r="G84" s="527" t="s">
        <v>1722</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1801</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1691</v>
      </c>
      <c r="B100" s="477" t="s">
        <v>1802</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1735</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1737</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1739</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1803</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1804</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1805</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1806</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1741</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R50" sqref="R50:W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21</v>
      </c>
      <c r="E1" s="3428" t="s">
        <v>3498</v>
      </c>
      <c r="F1" s="1877" t="s">
        <v>3394</v>
      </c>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IF(E1="项目模式",IF(C2="——",ROUND(C50*D3/10000,0),ROUND(C50*D3/10000,0)-D2),IF(E1="单套模式",IF(C2="——",ROUND(C50*D3/10000,4),ROUND(C50*D3/10000,4)-D2)))</f>
        <v>12941</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37447</v>
      </c>
      <c r="C3" s="354" t="s">
        <v>1765</v>
      </c>
      <c r="D3" s="353">
        <f>IF(D1="",'数据-汇总表'!E3,SUMIF('数据-汇总表'!$C19:$C33,D1,'数据-汇总表'!$E19:$E33))</f>
        <v>3455.7</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46" t="s">
        <v>1772</v>
      </c>
      <c r="Q4" s="3747"/>
      <c r="R4" s="3750" t="s">
        <v>1768</v>
      </c>
      <c r="S4" s="3751"/>
      <c r="T4" s="3750" t="s">
        <v>1769</v>
      </c>
      <c r="U4" s="3751"/>
      <c r="V4" s="3752" t="s">
        <v>1770</v>
      </c>
      <c r="W4" s="3752"/>
      <c r="X4" s="1956"/>
      <c r="Y4" s="3750" t="s">
        <v>1772</v>
      </c>
      <c r="Z4" s="3751"/>
      <c r="AA4" s="3755" t="s">
        <v>1768</v>
      </c>
      <c r="AB4" s="3755" t="s">
        <v>1769</v>
      </c>
      <c r="AC4" s="3743" t="s">
        <v>1770</v>
      </c>
    </row>
    <row r="5" spans="1:29" ht="15">
      <c r="A5" s="358"/>
      <c r="B5" s="359"/>
      <c r="C5" s="3731" t="s">
        <v>1670</v>
      </c>
      <c r="D5" s="3732"/>
      <c r="E5" s="3753" t="s">
        <v>3448</v>
      </c>
      <c r="F5" s="3739"/>
      <c r="G5" s="3753" t="s">
        <v>3448</v>
      </c>
      <c r="H5" s="3739"/>
      <c r="I5" s="3753" t="s">
        <v>3448</v>
      </c>
      <c r="J5" s="3739"/>
      <c r="K5" s="559"/>
      <c r="L5" s="2708"/>
      <c r="M5" s="2709"/>
      <c r="N5" s="2709"/>
      <c r="O5" s="2709"/>
      <c r="P5" s="3748"/>
      <c r="Q5" s="3719"/>
      <c r="R5" s="3724"/>
      <c r="S5" s="3725"/>
      <c r="T5" s="3724"/>
      <c r="U5" s="3725"/>
      <c r="V5" s="3728"/>
      <c r="W5" s="3728"/>
      <c r="X5" s="1353"/>
      <c r="Y5" s="3724"/>
      <c r="Z5" s="3725"/>
      <c r="AA5" s="3710"/>
      <c r="AB5" s="3710"/>
      <c r="AC5" s="3744"/>
    </row>
    <row r="6" spans="1:29" ht="15.75" thickBot="1">
      <c r="A6" s="360"/>
      <c r="B6" s="361"/>
      <c r="C6" s="3729" t="s">
        <v>1674</v>
      </c>
      <c r="D6" s="3730"/>
      <c r="E6" s="3736" t="s">
        <v>1674</v>
      </c>
      <c r="F6" s="3737"/>
      <c r="G6" s="3729" t="s">
        <v>1674</v>
      </c>
      <c r="H6" s="3730"/>
      <c r="I6" s="3729" t="s">
        <v>1674</v>
      </c>
      <c r="J6" s="3730"/>
      <c r="K6" s="559" t="s">
        <v>1675</v>
      </c>
      <c r="L6" s="2708"/>
      <c r="M6" s="2709"/>
      <c r="N6" s="2709"/>
      <c r="O6" s="2709"/>
      <c r="P6" s="3749"/>
      <c r="Q6" s="3721"/>
      <c r="R6" s="3724"/>
      <c r="S6" s="3725"/>
      <c r="T6" s="3726"/>
      <c r="U6" s="3727"/>
      <c r="V6" s="3728"/>
      <c r="W6" s="3728"/>
      <c r="X6" s="1353"/>
      <c r="Y6" s="3726"/>
      <c r="Z6" s="3727"/>
      <c r="AA6" s="3711"/>
      <c r="AB6" s="3711"/>
      <c r="AC6" s="3745"/>
    </row>
    <row r="7" spans="1:29" s="108" customFormat="1" ht="15.75" thickBot="1">
      <c r="A7" s="362" t="s">
        <v>1676</v>
      </c>
      <c r="B7" s="363"/>
      <c r="C7" s="364">
        <f>'数据-取费表'!B2</f>
        <v>45037</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4" t="s">
        <v>1677</v>
      </c>
      <c r="Q7" s="3735"/>
      <c r="R7" s="699" t="s">
        <v>14</v>
      </c>
      <c r="S7" s="700">
        <f t="shared" ref="S7:S15" si="0">F7</f>
        <v>100</v>
      </c>
      <c r="T7" s="699" t="s">
        <v>14</v>
      </c>
      <c r="U7" s="700">
        <f t="shared" ref="U7:U15" si="1">H7</f>
        <v>100</v>
      </c>
      <c r="V7" s="699" t="s">
        <v>14</v>
      </c>
      <c r="W7" s="700">
        <f t="shared" ref="W7:W15" si="2">J7</f>
        <v>100</v>
      </c>
      <c r="X7" s="701"/>
      <c r="Y7" s="3733" t="s">
        <v>1677</v>
      </c>
      <c r="Z7" s="3734"/>
      <c r="AA7" s="702">
        <f>D7/F7</f>
        <v>1</v>
      </c>
      <c r="AB7" s="702">
        <f>D7/H7</f>
        <v>1</v>
      </c>
      <c r="AC7" s="1957">
        <f>D7/J7</f>
        <v>1</v>
      </c>
    </row>
    <row r="8" spans="1:29" s="108" customFormat="1" ht="15.75" thickBot="1">
      <c r="A8" s="362" t="s">
        <v>1678</v>
      </c>
      <c r="B8" s="363"/>
      <c r="C8" s="368" t="s">
        <v>3395</v>
      </c>
      <c r="D8" s="365">
        <v>100</v>
      </c>
      <c r="E8" s="368" t="s">
        <v>3395</v>
      </c>
      <c r="F8" s="367">
        <f>SUMIF(62:62,E8,63:63)-SUMIF(62:62,C8,63:63)+100</f>
        <v>100</v>
      </c>
      <c r="G8" s="368" t="s">
        <v>3395</v>
      </c>
      <c r="H8" s="365">
        <f>SUMIF(62:62,G8,63:63)-SUMIF(62:62,C8,63:63)+100</f>
        <v>100</v>
      </c>
      <c r="I8" s="368" t="s">
        <v>3395</v>
      </c>
      <c r="J8" s="365">
        <f>SUMIF(62:62,I8,63:63)-SUMIF(62:62,C8,63:63)+100</f>
        <v>100</v>
      </c>
      <c r="K8" s="560"/>
      <c r="L8" s="2710"/>
      <c r="M8" s="2711"/>
      <c r="N8" s="2711"/>
      <c r="O8" s="2711"/>
      <c r="P8" s="3754" t="s">
        <v>1680</v>
      </c>
      <c r="Q8" s="3734"/>
      <c r="R8" s="699" t="s">
        <v>14</v>
      </c>
      <c r="S8" s="700">
        <f t="shared" si="0"/>
        <v>100</v>
      </c>
      <c r="T8" s="699" t="s">
        <v>14</v>
      </c>
      <c r="U8" s="700">
        <f t="shared" si="1"/>
        <v>100</v>
      </c>
      <c r="V8" s="699" t="s">
        <v>14</v>
      </c>
      <c r="W8" s="700">
        <f t="shared" si="2"/>
        <v>100</v>
      </c>
      <c r="X8" s="701"/>
      <c r="Y8" s="3733" t="s">
        <v>1680</v>
      </c>
      <c r="Z8" s="3734"/>
      <c r="AA8" s="702">
        <f t="shared" ref="AA8:AA47" si="3">D8/F8</f>
        <v>1</v>
      </c>
      <c r="AB8" s="702">
        <f t="shared" ref="AB8:AB47" si="4">D8/H8</f>
        <v>1</v>
      </c>
      <c r="AC8" s="1957">
        <f t="shared" ref="AC8:AC47" si="5">D8/J8</f>
        <v>1</v>
      </c>
    </row>
    <row r="9" spans="1:29" s="108" customFormat="1">
      <c r="A9" s="369" t="s">
        <v>1681</v>
      </c>
      <c r="B9" s="63" t="s">
        <v>1682</v>
      </c>
      <c r="C9" s="3443" t="s">
        <v>3396</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8"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1957">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08"/>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1957">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8"/>
      <c r="Q11" s="1341" t="str">
        <f t="shared" si="6"/>
        <v>容积率</v>
      </c>
      <c r="R11" s="699" t="s">
        <v>14</v>
      </c>
      <c r="S11" s="700">
        <f t="shared" si="0"/>
        <v>100</v>
      </c>
      <c r="T11" s="699" t="s">
        <v>14</v>
      </c>
      <c r="U11" s="700">
        <f t="shared" si="1"/>
        <v>100</v>
      </c>
      <c r="V11" s="699" t="s">
        <v>14</v>
      </c>
      <c r="W11" s="700">
        <f t="shared" si="2"/>
        <v>100</v>
      </c>
      <c r="X11" s="701"/>
      <c r="Y11" s="357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08"/>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08"/>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08"/>
      <c r="Q14" s="1341">
        <f t="shared" si="6"/>
        <v>111</v>
      </c>
      <c r="R14" s="699" t="s">
        <v>14</v>
      </c>
      <c r="S14" s="700">
        <f t="shared" si="0"/>
        <v>100</v>
      </c>
      <c r="T14" s="699" t="s">
        <v>14</v>
      </c>
      <c r="U14" s="700">
        <f t="shared" si="1"/>
        <v>100</v>
      </c>
      <c r="V14" s="699" t="s">
        <v>14</v>
      </c>
      <c r="W14" s="700">
        <f t="shared" si="2"/>
        <v>100</v>
      </c>
      <c r="X14" s="701"/>
      <c r="Y14" s="3578"/>
      <c r="Z14" s="52">
        <f t="shared" si="7"/>
        <v>111</v>
      </c>
      <c r="AA14" s="702">
        <f t="shared" si="3"/>
        <v>1</v>
      </c>
      <c r="AB14" s="702">
        <f t="shared" si="4"/>
        <v>1</v>
      </c>
      <c r="AC14" s="1957">
        <f t="shared" si="5"/>
        <v>1</v>
      </c>
    </row>
    <row r="15" spans="1:29" ht="77.25" customHeight="1">
      <c r="A15" s="391" t="s">
        <v>1687</v>
      </c>
      <c r="B15" s="577" t="s">
        <v>1808</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06" t="s">
        <v>1688</v>
      </c>
      <c r="Q15" s="1350" t="str">
        <f t="shared" si="6"/>
        <v>办公集聚程度</v>
      </c>
      <c r="R15" s="703" t="s">
        <v>14</v>
      </c>
      <c r="S15" s="704">
        <f t="shared" si="0"/>
        <v>100</v>
      </c>
      <c r="T15" s="703" t="s">
        <v>14</v>
      </c>
      <c r="U15" s="704">
        <f t="shared" si="1"/>
        <v>100</v>
      </c>
      <c r="V15" s="703" t="s">
        <v>14</v>
      </c>
      <c r="W15" s="704">
        <f t="shared" si="2"/>
        <v>100</v>
      </c>
      <c r="X15" s="1353"/>
      <c r="Y15" s="3699" t="s">
        <v>1688</v>
      </c>
      <c r="Z15" s="1354" t="str">
        <f t="shared" si="7"/>
        <v>办公集聚程度</v>
      </c>
      <c r="AA15" s="1351">
        <f t="shared" si="3"/>
        <v>1</v>
      </c>
      <c r="AB15" s="1351">
        <f t="shared" si="4"/>
        <v>1</v>
      </c>
      <c r="AC15" s="1960">
        <f t="shared" si="5"/>
        <v>1</v>
      </c>
    </row>
    <row r="16" spans="1:29" ht="15">
      <c r="A16" s="379"/>
      <c r="B16" s="578"/>
      <c r="C16" s="1902" t="s">
        <v>3397</v>
      </c>
      <c r="D16" s="399"/>
      <c r="E16" s="1902" t="s">
        <v>3397</v>
      </c>
      <c r="F16" s="399"/>
      <c r="G16" s="1902" t="s">
        <v>3397</v>
      </c>
      <c r="H16" s="401"/>
      <c r="I16" s="1902" t="s">
        <v>3397</v>
      </c>
      <c r="J16" s="399"/>
      <c r="K16" s="564"/>
      <c r="L16" s="2715"/>
      <c r="M16" s="2709"/>
      <c r="N16" s="2709"/>
      <c r="O16" s="2709"/>
      <c r="P16" s="3707"/>
      <c r="Q16" s="1350"/>
      <c r="R16" s="703"/>
      <c r="S16" s="704"/>
      <c r="T16" s="703"/>
      <c r="U16" s="704"/>
      <c r="V16" s="703"/>
      <c r="W16" s="704"/>
      <c r="X16" s="1353"/>
      <c r="Y16" s="3700"/>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07"/>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960">
        <f t="shared" si="5"/>
        <v>1</v>
      </c>
    </row>
    <row r="18" spans="1:29" ht="15">
      <c r="A18" s="379"/>
      <c r="B18" s="580"/>
      <c r="C18" s="1962" t="s">
        <v>3449</v>
      </c>
      <c r="D18" s="401"/>
      <c r="E18" s="1962" t="s">
        <v>3449</v>
      </c>
      <c r="F18" s="401"/>
      <c r="G18" s="1962" t="s">
        <v>3449</v>
      </c>
      <c r="H18" s="399"/>
      <c r="I18" s="1962" t="s">
        <v>3449</v>
      </c>
      <c r="J18" s="399"/>
      <c r="K18" s="564"/>
      <c r="L18" s="2715"/>
      <c r="M18" s="2709"/>
      <c r="N18" s="2709"/>
      <c r="O18" s="2709"/>
      <c r="P18" s="3707"/>
      <c r="Q18" s="1350"/>
      <c r="R18" s="703"/>
      <c r="S18" s="704"/>
      <c r="T18" s="703"/>
      <c r="U18" s="704"/>
      <c r="V18" s="703"/>
      <c r="W18" s="704"/>
      <c r="X18" s="1353"/>
      <c r="Y18" s="3700"/>
      <c r="Z18" s="1354"/>
      <c r="AA18" s="1351">
        <v>1</v>
      </c>
      <c r="AB18" s="1351">
        <v>1</v>
      </c>
      <c r="AC18" s="1960">
        <v>1</v>
      </c>
    </row>
    <row r="19" spans="1:29" ht="63.75" customHeight="1">
      <c r="A19" s="379"/>
      <c r="B19" s="579" t="s">
        <v>1809</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07"/>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960">
        <f t="shared" si="5"/>
        <v>1</v>
      </c>
    </row>
    <row r="20" spans="1:29" ht="15">
      <c r="A20" s="379"/>
      <c r="B20" s="580"/>
      <c r="C20" s="1902" t="s">
        <v>3449</v>
      </c>
      <c r="D20" s="399"/>
      <c r="E20" s="1902" t="s">
        <v>3449</v>
      </c>
      <c r="F20" s="399"/>
      <c r="G20" s="1902" t="s">
        <v>3449</v>
      </c>
      <c r="H20" s="399"/>
      <c r="I20" s="1902" t="s">
        <v>3449</v>
      </c>
      <c r="J20" s="399"/>
      <c r="K20" s="564"/>
      <c r="L20" s="2715"/>
      <c r="M20" s="2709"/>
      <c r="N20" s="2709"/>
      <c r="O20" s="2709"/>
      <c r="P20" s="3707"/>
      <c r="Q20" s="1350"/>
      <c r="R20" s="703"/>
      <c r="S20" s="704"/>
      <c r="T20" s="703"/>
      <c r="U20" s="704"/>
      <c r="V20" s="703"/>
      <c r="W20" s="704"/>
      <c r="X20" s="1353"/>
      <c r="Y20" s="3700"/>
      <c r="Z20" s="1354"/>
      <c r="AA20" s="1351">
        <v>1</v>
      </c>
      <c r="AB20" s="1351">
        <v>1</v>
      </c>
      <c r="AC20" s="1960">
        <v>1</v>
      </c>
    </row>
    <row r="21" spans="1:29" ht="27" customHeight="1">
      <c r="A21" s="379"/>
      <c r="B21" s="581" t="s">
        <v>1810</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07"/>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960">
        <f t="shared" ref="AC21" si="10">D21/J21</f>
        <v>1</v>
      </c>
    </row>
    <row r="22" spans="1:29" ht="15">
      <c r="A22" s="379"/>
      <c r="B22" s="581"/>
      <c r="C22" s="1962" t="s">
        <v>3398</v>
      </c>
      <c r="D22" s="399"/>
      <c r="E22" s="1962" t="s">
        <v>3398</v>
      </c>
      <c r="F22" s="399"/>
      <c r="G22" s="1962" t="s">
        <v>3398</v>
      </c>
      <c r="H22" s="399"/>
      <c r="I22" s="1962" t="s">
        <v>3398</v>
      </c>
      <c r="J22" s="399"/>
      <c r="K22" s="1128"/>
      <c r="L22" s="2715"/>
      <c r="M22" s="2709"/>
      <c r="N22" s="2709"/>
      <c r="O22" s="2709"/>
      <c r="P22" s="3707"/>
      <c r="Q22" s="1350"/>
      <c r="R22" s="703"/>
      <c r="S22" s="704"/>
      <c r="T22" s="703"/>
      <c r="U22" s="704"/>
      <c r="V22" s="703"/>
      <c r="W22" s="704"/>
      <c r="X22" s="1353"/>
      <c r="Y22" s="3700"/>
      <c r="Z22" s="1354"/>
      <c r="AA22" s="1351">
        <v>1</v>
      </c>
      <c r="AB22" s="1351">
        <v>1</v>
      </c>
      <c r="AC22" s="1960">
        <v>1</v>
      </c>
    </row>
    <row r="23" spans="1:29" ht="60" customHeight="1">
      <c r="A23" s="379"/>
      <c r="B23" s="579" t="s">
        <v>1811</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07"/>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960">
        <f t="shared" si="5"/>
        <v>1</v>
      </c>
    </row>
    <row r="24" spans="1:29" ht="15">
      <c r="A24" s="379"/>
      <c r="B24" s="581"/>
      <c r="C24" s="1902" t="s">
        <v>3397</v>
      </c>
      <c r="D24" s="399"/>
      <c r="E24" s="1902" t="s">
        <v>3397</v>
      </c>
      <c r="F24" s="399"/>
      <c r="G24" s="1902" t="s">
        <v>3397</v>
      </c>
      <c r="H24" s="399"/>
      <c r="I24" s="1902" t="s">
        <v>3397</v>
      </c>
      <c r="J24" s="399"/>
      <c r="K24" s="564"/>
      <c r="L24" s="2715"/>
      <c r="M24" s="2709"/>
      <c r="N24" s="2709"/>
      <c r="O24" s="2709"/>
      <c r="P24" s="3707"/>
      <c r="Q24" s="1350"/>
      <c r="R24" s="703"/>
      <c r="S24" s="704"/>
      <c r="T24" s="703"/>
      <c r="U24" s="704"/>
      <c r="V24" s="703"/>
      <c r="W24" s="704"/>
      <c r="X24" s="1353"/>
      <c r="Y24" s="3700"/>
      <c r="Z24" s="1354"/>
      <c r="AA24" s="1351">
        <v>1</v>
      </c>
      <c r="AB24" s="1351">
        <v>1</v>
      </c>
      <c r="AC24" s="1960">
        <v>1</v>
      </c>
    </row>
    <row r="25" spans="1:29" ht="27">
      <c r="A25" s="358"/>
      <c r="B25" s="579" t="s">
        <v>1812</v>
      </c>
      <c r="C25" s="3454" t="s">
        <v>3451</v>
      </c>
      <c r="D25" s="386">
        <v>100</v>
      </c>
      <c r="E25" s="3454" t="s">
        <v>3451</v>
      </c>
      <c r="F25" s="386">
        <f>SUMIF(87:87,E26,88:88)-SUMIF(87:87,C26,88:88)+100</f>
        <v>100</v>
      </c>
      <c r="G25" s="3454" t="s">
        <v>3451</v>
      </c>
      <c r="H25" s="386">
        <f>SUMIF(87:87,G26,88:88)-SUMIF(87:87,C26,88:88)+100</f>
        <v>100</v>
      </c>
      <c r="I25" s="3454" t="s">
        <v>3451</v>
      </c>
      <c r="J25" s="386">
        <f>SUMIF(87:87,I26,88:88)-SUMIF(87:87,C26,88:88)+100</f>
        <v>100</v>
      </c>
      <c r="K25" s="563">
        <v>2</v>
      </c>
      <c r="L25" s="2715"/>
      <c r="M25" s="2709"/>
      <c r="N25" s="2709"/>
      <c r="O25" s="2709"/>
      <c r="P25" s="3707"/>
      <c r="Q25" s="1350" t="str">
        <f>B25</f>
        <v>毗邻道路的类型与等级</v>
      </c>
      <c r="R25" s="703" t="s">
        <v>14</v>
      </c>
      <c r="S25" s="704">
        <f>F25</f>
        <v>100</v>
      </c>
      <c r="T25" s="703" t="s">
        <v>14</v>
      </c>
      <c r="U25" s="704">
        <f>H25</f>
        <v>100</v>
      </c>
      <c r="V25" s="703" t="s">
        <v>14</v>
      </c>
      <c r="W25" s="704">
        <f>J25</f>
        <v>100</v>
      </c>
      <c r="X25" s="1353"/>
      <c r="Y25" s="3700"/>
      <c r="Z25" s="1354" t="str">
        <f>Q25</f>
        <v>毗邻道路的类型与等级</v>
      </c>
      <c r="AA25" s="1351">
        <f t="shared" si="3"/>
        <v>1</v>
      </c>
      <c r="AB25" s="1351">
        <f t="shared" si="4"/>
        <v>1</v>
      </c>
      <c r="AC25" s="1960">
        <f t="shared" si="5"/>
        <v>1</v>
      </c>
    </row>
    <row r="26" spans="1:29" ht="15">
      <c r="A26" s="358"/>
      <c r="B26" s="580"/>
      <c r="C26" s="582" t="s">
        <v>3450</v>
      </c>
      <c r="D26" s="386"/>
      <c r="E26" s="582" t="s">
        <v>3450</v>
      </c>
      <c r="F26" s="386"/>
      <c r="G26" s="582" t="s">
        <v>3450</v>
      </c>
      <c r="H26" s="386"/>
      <c r="I26" s="582" t="s">
        <v>3450</v>
      </c>
      <c r="J26" s="386"/>
      <c r="K26" s="564"/>
      <c r="L26" s="2715"/>
      <c r="M26" s="2709"/>
      <c r="N26" s="2709"/>
      <c r="O26" s="2709"/>
      <c r="P26" s="3707"/>
      <c r="Q26" s="1350"/>
      <c r="R26" s="703"/>
      <c r="S26" s="704"/>
      <c r="T26" s="703"/>
      <c r="U26" s="704"/>
      <c r="V26" s="703"/>
      <c r="W26" s="704"/>
      <c r="X26" s="1353"/>
      <c r="Y26" s="3700"/>
      <c r="Z26" s="1354"/>
      <c r="AA26" s="1351">
        <v>1</v>
      </c>
      <c r="AB26" s="1351">
        <v>1</v>
      </c>
      <c r="AC26" s="1960">
        <v>1</v>
      </c>
    </row>
    <row r="27" spans="1:29" ht="15">
      <c r="A27" s="379"/>
      <c r="B27" s="580" t="s">
        <v>1780</v>
      </c>
      <c r="C27" s="582" t="s">
        <v>3494</v>
      </c>
      <c r="D27" s="386">
        <v>100</v>
      </c>
      <c r="E27" s="582" t="s">
        <v>3405</v>
      </c>
      <c r="F27" s="386">
        <f>SUMIF(89:89,E27,90:90)-SUMIF(89:89,C27,90:90)+100</f>
        <v>102</v>
      </c>
      <c r="G27" s="582" t="s">
        <v>3405</v>
      </c>
      <c r="H27" s="386">
        <f>SUMIF(89:89,G27,90:90)-SUMIF(89:89,C27,90:90)+100</f>
        <v>102</v>
      </c>
      <c r="I27" s="582" t="s">
        <v>3405</v>
      </c>
      <c r="J27" s="386">
        <f>SUMIF(89:89,I27,90:90)-SUMIF(89:89,C27,90:90)+100</f>
        <v>102</v>
      </c>
      <c r="K27" s="561">
        <v>2</v>
      </c>
      <c r="L27" s="2715"/>
      <c r="M27" s="2709"/>
      <c r="N27" s="2709"/>
      <c r="O27" s="2709"/>
      <c r="P27" s="3707"/>
      <c r="Q27" s="1350" t="str">
        <f t="shared" ref="Q27:Q47" si="11">B27</f>
        <v>楼层</v>
      </c>
      <c r="R27" s="703" t="s">
        <v>14</v>
      </c>
      <c r="S27" s="704">
        <f>F27</f>
        <v>102</v>
      </c>
      <c r="T27" s="703" t="s">
        <v>14</v>
      </c>
      <c r="U27" s="704">
        <f>H27</f>
        <v>102</v>
      </c>
      <c r="V27" s="703" t="s">
        <v>14</v>
      </c>
      <c r="W27" s="704">
        <f>J27</f>
        <v>102</v>
      </c>
      <c r="X27" s="1353"/>
      <c r="Y27" s="3700"/>
      <c r="Z27" s="1354" t="str">
        <f>Q27</f>
        <v>楼层</v>
      </c>
      <c r="AA27" s="1351">
        <f t="shared" si="3"/>
        <v>0.98039215686274506</v>
      </c>
      <c r="AB27" s="1351">
        <f t="shared" si="4"/>
        <v>0.98039215686274506</v>
      </c>
      <c r="AC27" s="1960">
        <f t="shared" si="5"/>
        <v>0.98039215686274506</v>
      </c>
    </row>
    <row r="28" spans="1:29" s="108" customFormat="1" ht="15">
      <c r="A28" s="382"/>
      <c r="B28" s="579"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07"/>
      <c r="Q28" s="1341" t="str">
        <f t="shared" si="11"/>
        <v>朝向</v>
      </c>
      <c r="R28" s="699" t="s">
        <v>14</v>
      </c>
      <c r="S28" s="700">
        <f>F28</f>
        <v>100</v>
      </c>
      <c r="T28" s="699" t="s">
        <v>14</v>
      </c>
      <c r="U28" s="700">
        <f>H28</f>
        <v>100</v>
      </c>
      <c r="V28" s="699" t="s">
        <v>14</v>
      </c>
      <c r="W28" s="700">
        <f>J28</f>
        <v>100</v>
      </c>
      <c r="X28" s="701"/>
      <c r="Y28" s="370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07"/>
      <c r="Q29" s="1350">
        <f t="shared" si="11"/>
        <v>111</v>
      </c>
      <c r="R29" s="703" t="s">
        <v>14</v>
      </c>
      <c r="S29" s="704">
        <f t="shared" ref="S29:S47" si="12">F29</f>
        <v>100</v>
      </c>
      <c r="T29" s="703" t="s">
        <v>14</v>
      </c>
      <c r="U29" s="704">
        <f t="shared" ref="U29:U47" si="13">H29</f>
        <v>100</v>
      </c>
      <c r="V29" s="703" t="s">
        <v>14</v>
      </c>
      <c r="W29" s="704">
        <f t="shared" ref="W29:W47" si="14">J29</f>
        <v>100</v>
      </c>
      <c r="X29" s="1353"/>
      <c r="Y29" s="370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07"/>
      <c r="Q30" s="1350">
        <f t="shared" si="11"/>
        <v>111</v>
      </c>
      <c r="R30" s="703" t="s">
        <v>14</v>
      </c>
      <c r="S30" s="704">
        <f t="shared" si="12"/>
        <v>100</v>
      </c>
      <c r="T30" s="703" t="s">
        <v>14</v>
      </c>
      <c r="U30" s="704">
        <f t="shared" si="13"/>
        <v>100</v>
      </c>
      <c r="V30" s="703" t="s">
        <v>14</v>
      </c>
      <c r="W30" s="704">
        <f t="shared" si="14"/>
        <v>100</v>
      </c>
      <c r="X30" s="1353"/>
      <c r="Y30" s="370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07"/>
      <c r="Q31" s="1350">
        <f t="shared" si="11"/>
        <v>111</v>
      </c>
      <c r="R31" s="703" t="s">
        <v>14</v>
      </c>
      <c r="S31" s="704">
        <f t="shared" si="12"/>
        <v>100</v>
      </c>
      <c r="T31" s="703" t="s">
        <v>14</v>
      </c>
      <c r="U31" s="704">
        <f t="shared" si="13"/>
        <v>100</v>
      </c>
      <c r="V31" s="703" t="s">
        <v>14</v>
      </c>
      <c r="W31" s="704">
        <f t="shared" si="14"/>
        <v>100</v>
      </c>
      <c r="X31" s="1353"/>
      <c r="Y31" s="370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07"/>
      <c r="Q32" s="1350">
        <f t="shared" si="11"/>
        <v>111</v>
      </c>
      <c r="R32" s="703" t="s">
        <v>14</v>
      </c>
      <c r="S32" s="704">
        <f t="shared" si="12"/>
        <v>100</v>
      </c>
      <c r="T32" s="703" t="s">
        <v>14</v>
      </c>
      <c r="U32" s="704">
        <f t="shared" si="13"/>
        <v>100</v>
      </c>
      <c r="V32" s="703" t="s">
        <v>14</v>
      </c>
      <c r="W32" s="704">
        <f t="shared" si="14"/>
        <v>100</v>
      </c>
      <c r="X32" s="1353"/>
      <c r="Y32" s="3700"/>
      <c r="Z32" s="1354">
        <f t="shared" si="15"/>
        <v>111</v>
      </c>
      <c r="AA32" s="1351">
        <f t="shared" si="3"/>
        <v>1</v>
      </c>
      <c r="AB32" s="1351">
        <f t="shared" si="4"/>
        <v>1</v>
      </c>
      <c r="AC32" s="1960">
        <f t="shared" si="5"/>
        <v>1</v>
      </c>
    </row>
    <row r="33" spans="1:29" ht="15">
      <c r="A33" s="391" t="s">
        <v>1691</v>
      </c>
      <c r="B33" s="63" t="s">
        <v>1814</v>
      </c>
      <c r="C33" s="1965" t="s">
        <v>3431</v>
      </c>
      <c r="D33" s="418">
        <v>100</v>
      </c>
      <c r="E33" s="1965" t="s">
        <v>3431</v>
      </c>
      <c r="F33" s="412">
        <f>SUMIF(101:101,E33,102:102)-SUMIF(101:101,C33,102:102)+100</f>
        <v>100</v>
      </c>
      <c r="G33" s="1965" t="s">
        <v>3431</v>
      </c>
      <c r="H33" s="386">
        <f>SUMIF(101:101,G33,102:102)-SUMIF(101:101,C33,102:102)+100</f>
        <v>100</v>
      </c>
      <c r="I33" s="1965" t="s">
        <v>3431</v>
      </c>
      <c r="J33" s="418">
        <f>SUMIF(101:101,I33,102:102)-SUMIF(101:101,C33,102:102)+100</f>
        <v>100</v>
      </c>
      <c r="K33" s="561">
        <v>2</v>
      </c>
      <c r="L33" s="2715"/>
      <c r="M33" s="2709"/>
      <c r="N33" s="2709"/>
      <c r="O33" s="2709"/>
      <c r="P33" s="3701" t="s">
        <v>1693</v>
      </c>
      <c r="Q33" s="1350" t="str">
        <f t="shared" si="11"/>
        <v>建筑类型</v>
      </c>
      <c r="R33" s="703" t="s">
        <v>14</v>
      </c>
      <c r="S33" s="704">
        <f t="shared" si="12"/>
        <v>100</v>
      </c>
      <c r="T33" s="703" t="s">
        <v>14</v>
      </c>
      <c r="U33" s="704">
        <f t="shared" si="13"/>
        <v>100</v>
      </c>
      <c r="V33" s="703" t="s">
        <v>14</v>
      </c>
      <c r="W33" s="704">
        <f t="shared" si="14"/>
        <v>100</v>
      </c>
      <c r="X33" s="1353"/>
      <c r="Y33" s="3704" t="s">
        <v>1693</v>
      </c>
      <c r="Z33" s="1354" t="str">
        <f t="shared" si="15"/>
        <v>建筑类型</v>
      </c>
      <c r="AA33" s="1351">
        <f t="shared" si="3"/>
        <v>1</v>
      </c>
      <c r="AB33" s="1351">
        <f t="shared" si="4"/>
        <v>1</v>
      </c>
      <c r="AC33" s="1960">
        <f t="shared" si="5"/>
        <v>1</v>
      </c>
    </row>
    <row r="34" spans="1:29" s="422" customFormat="1" ht="15">
      <c r="A34" s="419"/>
      <c r="B34" s="375" t="s">
        <v>1694</v>
      </c>
      <c r="C34" s="420">
        <f>'数据-汇总表'!F19</f>
        <v>3455.7</v>
      </c>
      <c r="D34" s="127">
        <v>100</v>
      </c>
      <c r="E34" s="420">
        <v>1870</v>
      </c>
      <c r="F34" s="376">
        <f>LOOKUP(E34,104:104,105:105)-LOOKUP(C34,104:104,105:105)+100</f>
        <v>101</v>
      </c>
      <c r="G34" s="420">
        <v>1372.44</v>
      </c>
      <c r="H34" s="127">
        <f>LOOKUP(G34,104:104,105:105)-LOOKUP(C34,104:104,105:105)+100</f>
        <v>101</v>
      </c>
      <c r="I34" s="420">
        <v>490.45</v>
      </c>
      <c r="J34" s="127">
        <f>LOOKUP(I34,104:104,105:105)-LOOKUP(C34,104:104,105:105)+100</f>
        <v>103</v>
      </c>
      <c r="K34" s="562"/>
      <c r="L34" s="2714"/>
      <c r="M34" s="2716"/>
      <c r="N34" s="2716"/>
      <c r="O34" s="2716"/>
      <c r="P34" s="3702"/>
      <c r="Q34" s="705" t="str">
        <f t="shared" si="11"/>
        <v>项目建筑规模</v>
      </c>
      <c r="R34" s="706" t="s">
        <v>14</v>
      </c>
      <c r="S34" s="707">
        <f t="shared" si="12"/>
        <v>101</v>
      </c>
      <c r="T34" s="706" t="s">
        <v>14</v>
      </c>
      <c r="U34" s="707">
        <f t="shared" si="13"/>
        <v>101</v>
      </c>
      <c r="V34" s="706" t="s">
        <v>14</v>
      </c>
      <c r="W34" s="707">
        <f t="shared" si="14"/>
        <v>103</v>
      </c>
      <c r="X34" s="708"/>
      <c r="Y34" s="3704"/>
      <c r="Z34" s="709" t="str">
        <f t="shared" si="15"/>
        <v>项目建筑规模</v>
      </c>
      <c r="AA34" s="1351">
        <f t="shared" si="3"/>
        <v>0.99009900990099009</v>
      </c>
      <c r="AB34" s="1351">
        <f t="shared" si="4"/>
        <v>0.99009900990099009</v>
      </c>
      <c r="AC34" s="1960">
        <f t="shared" si="5"/>
        <v>0.970873786407767</v>
      </c>
    </row>
    <row r="35" spans="1:29" ht="15">
      <c r="A35" s="423"/>
      <c r="B35" s="375" t="s">
        <v>1695</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15"/>
      <c r="M35" s="2709"/>
      <c r="N35" s="2709"/>
      <c r="O35" s="2709"/>
      <c r="P35" s="3702"/>
      <c r="Q35" s="1350" t="str">
        <f t="shared" si="11"/>
        <v>建筑结构</v>
      </c>
      <c r="R35" s="703" t="s">
        <v>14</v>
      </c>
      <c r="S35" s="704">
        <f t="shared" si="12"/>
        <v>100</v>
      </c>
      <c r="T35" s="703" t="s">
        <v>14</v>
      </c>
      <c r="U35" s="704">
        <f t="shared" si="13"/>
        <v>100</v>
      </c>
      <c r="V35" s="703" t="s">
        <v>14</v>
      </c>
      <c r="W35" s="704">
        <f t="shared" si="14"/>
        <v>100</v>
      </c>
      <c r="X35" s="1353"/>
      <c r="Y35" s="3704"/>
      <c r="Z35" s="1354" t="str">
        <f t="shared" si="15"/>
        <v>建筑结构</v>
      </c>
      <c r="AA35" s="1351">
        <f t="shared" si="3"/>
        <v>1</v>
      </c>
      <c r="AB35" s="1351">
        <f t="shared" si="4"/>
        <v>1</v>
      </c>
      <c r="AC35" s="1960">
        <f t="shared" si="5"/>
        <v>1</v>
      </c>
    </row>
    <row r="36" spans="1:29" ht="15">
      <c r="A36" s="423"/>
      <c r="B36" s="375" t="s">
        <v>1782</v>
      </c>
      <c r="C36" s="411" t="s">
        <v>3432</v>
      </c>
      <c r="D36" s="386">
        <v>100</v>
      </c>
      <c r="E36" s="411" t="s">
        <v>3432</v>
      </c>
      <c r="F36" s="412">
        <f>SUMIF(108:108,E36,109:109)-SUMIF(108:108,C36,109:109)+100</f>
        <v>100</v>
      </c>
      <c r="G36" s="411" t="s">
        <v>3432</v>
      </c>
      <c r="H36" s="386">
        <f>SUMIF(108:108,G36,109:109)-SUMIF(108:108,C36,109:109)+100</f>
        <v>100</v>
      </c>
      <c r="I36" s="411" t="s">
        <v>3432</v>
      </c>
      <c r="J36" s="386">
        <f>SUMIF(108:108,I36,109:109)-SUMIF(108:108,C36,109:109)+100</f>
        <v>100</v>
      </c>
      <c r="K36" s="561">
        <v>2</v>
      </c>
      <c r="L36" s="2715"/>
      <c r="M36" s="2709"/>
      <c r="N36" s="2709"/>
      <c r="O36" s="2709"/>
      <c r="P36" s="3702"/>
      <c r="Q36" s="1350" t="str">
        <f t="shared" si="11"/>
        <v>公共部分装修</v>
      </c>
      <c r="R36" s="703" t="s">
        <v>14</v>
      </c>
      <c r="S36" s="704">
        <f t="shared" si="12"/>
        <v>100</v>
      </c>
      <c r="T36" s="703" t="s">
        <v>14</v>
      </c>
      <c r="U36" s="704">
        <f t="shared" si="13"/>
        <v>100</v>
      </c>
      <c r="V36" s="703" t="s">
        <v>14</v>
      </c>
      <c r="W36" s="704">
        <f t="shared" si="14"/>
        <v>100</v>
      </c>
      <c r="X36" s="1353"/>
      <c r="Y36" s="3704"/>
      <c r="Z36" s="1354" t="str">
        <f t="shared" si="15"/>
        <v>公共部分装修</v>
      </c>
      <c r="AA36" s="1351">
        <f t="shared" si="3"/>
        <v>1</v>
      </c>
      <c r="AB36" s="1351">
        <f t="shared" si="4"/>
        <v>1</v>
      </c>
      <c r="AC36" s="1960">
        <f t="shared" si="5"/>
        <v>1</v>
      </c>
    </row>
    <row r="37" spans="1:29" ht="15">
      <c r="A37" s="423"/>
      <c r="B37" s="375" t="s">
        <v>1783</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5"/>
      <c r="M37" s="2709"/>
      <c r="N37" s="2709"/>
      <c r="O37" s="2709"/>
      <c r="P37" s="3702"/>
      <c r="Q37" s="1350" t="str">
        <f t="shared" si="11"/>
        <v>成新度</v>
      </c>
      <c r="R37" s="703" t="s">
        <v>14</v>
      </c>
      <c r="S37" s="704">
        <f t="shared" si="12"/>
        <v>100</v>
      </c>
      <c r="T37" s="703" t="s">
        <v>14</v>
      </c>
      <c r="U37" s="704">
        <f t="shared" si="13"/>
        <v>100</v>
      </c>
      <c r="V37" s="703" t="s">
        <v>14</v>
      </c>
      <c r="W37" s="704">
        <f t="shared" si="14"/>
        <v>100</v>
      </c>
      <c r="X37" s="1353"/>
      <c r="Y37" s="3704"/>
      <c r="Z37" s="1354" t="str">
        <f t="shared" si="15"/>
        <v>成新度</v>
      </c>
      <c r="AA37" s="1351">
        <f t="shared" si="3"/>
        <v>1</v>
      </c>
      <c r="AB37" s="1351">
        <f t="shared" si="4"/>
        <v>1</v>
      </c>
      <c r="AC37" s="1960">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02"/>
      <c r="Q38" s="1341" t="str">
        <f t="shared" si="11"/>
        <v>写字楼等级</v>
      </c>
      <c r="R38" s="699" t="s">
        <v>14</v>
      </c>
      <c r="S38" s="700">
        <f t="shared" si="12"/>
        <v>100</v>
      </c>
      <c r="T38" s="699" t="s">
        <v>14</v>
      </c>
      <c r="U38" s="700">
        <f t="shared" si="13"/>
        <v>100</v>
      </c>
      <c r="V38" s="699" t="s">
        <v>14</v>
      </c>
      <c r="W38" s="700">
        <f t="shared" si="14"/>
        <v>100</v>
      </c>
      <c r="X38" s="701"/>
      <c r="Y38" s="3704"/>
      <c r="Z38" s="52" t="str">
        <f t="shared" si="15"/>
        <v>写字楼等级</v>
      </c>
      <c r="AA38" s="702">
        <f t="shared" si="3"/>
        <v>1</v>
      </c>
      <c r="AB38" s="702">
        <f t="shared" si="4"/>
        <v>1</v>
      </c>
      <c r="AC38" s="1957">
        <f t="shared" si="5"/>
        <v>1</v>
      </c>
    </row>
    <row r="39" spans="1:29" ht="15">
      <c r="A39" s="423"/>
      <c r="B39" s="375" t="s">
        <v>1816</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2</v>
      </c>
      <c r="L39" s="2715"/>
      <c r="M39" s="2709"/>
      <c r="N39" s="2709"/>
      <c r="O39" s="2709"/>
      <c r="P39" s="3702" t="s">
        <v>1693</v>
      </c>
      <c r="Q39" s="1350" t="str">
        <f t="shared" si="11"/>
        <v>物业管理</v>
      </c>
      <c r="R39" s="703" t="s">
        <v>14</v>
      </c>
      <c r="S39" s="704">
        <f t="shared" si="12"/>
        <v>100</v>
      </c>
      <c r="T39" s="703" t="s">
        <v>14</v>
      </c>
      <c r="U39" s="704">
        <f t="shared" si="13"/>
        <v>100</v>
      </c>
      <c r="V39" s="703" t="s">
        <v>14</v>
      </c>
      <c r="W39" s="704">
        <f t="shared" si="14"/>
        <v>100</v>
      </c>
      <c r="X39" s="1353"/>
      <c r="Y39" s="3704" t="s">
        <v>1693</v>
      </c>
      <c r="Z39" s="1354" t="str">
        <f t="shared" si="15"/>
        <v>物业管理</v>
      </c>
      <c r="AA39" s="1351">
        <f t="shared" si="3"/>
        <v>1</v>
      </c>
      <c r="AB39" s="1351">
        <f t="shared" si="4"/>
        <v>1</v>
      </c>
      <c r="AC39" s="1960">
        <f t="shared" si="5"/>
        <v>1</v>
      </c>
    </row>
    <row r="40" spans="1:29" ht="15">
      <c r="A40" s="423"/>
      <c r="B40" s="375" t="s">
        <v>1784</v>
      </c>
      <c r="C40" s="411" t="s">
        <v>3433</v>
      </c>
      <c r="D40" s="386">
        <v>100</v>
      </c>
      <c r="E40" s="411" t="s">
        <v>3433</v>
      </c>
      <c r="F40" s="412">
        <f>SUMIF(117:117,E40,118:118)-SUMIF(117:117,C40,118:118)+100</f>
        <v>100</v>
      </c>
      <c r="G40" s="411" t="s">
        <v>3433</v>
      </c>
      <c r="H40" s="386">
        <f>SUMIF(117:117,G40,118:118)-SUMIF(117:117,C40,118:118)+100</f>
        <v>100</v>
      </c>
      <c r="I40" s="411" t="s">
        <v>3433</v>
      </c>
      <c r="J40" s="386">
        <f>SUMIF(117:117,I40,118:118)-SUMIF(117:117,C40,118:118)+100</f>
        <v>100</v>
      </c>
      <c r="K40" s="561">
        <v>1</v>
      </c>
      <c r="L40" s="2715"/>
      <c r="M40" s="2709"/>
      <c r="N40" s="2709"/>
      <c r="O40" s="2709"/>
      <c r="P40" s="3702"/>
      <c r="Q40" s="1350" t="str">
        <f t="shared" si="11"/>
        <v>市政基础设施</v>
      </c>
      <c r="R40" s="703" t="s">
        <v>14</v>
      </c>
      <c r="S40" s="704">
        <f t="shared" si="12"/>
        <v>100</v>
      </c>
      <c r="T40" s="703" t="s">
        <v>14</v>
      </c>
      <c r="U40" s="704">
        <f t="shared" si="13"/>
        <v>100</v>
      </c>
      <c r="V40" s="703" t="s">
        <v>14</v>
      </c>
      <c r="W40" s="704">
        <f t="shared" si="14"/>
        <v>100</v>
      </c>
      <c r="X40" s="1353"/>
      <c r="Y40" s="3704"/>
      <c r="Z40" s="1354" t="str">
        <f t="shared" si="15"/>
        <v>市政基础设施</v>
      </c>
      <c r="AA40" s="1351">
        <f t="shared" si="3"/>
        <v>1</v>
      </c>
      <c r="AB40" s="1351">
        <f t="shared" si="4"/>
        <v>1</v>
      </c>
      <c r="AC40" s="1960">
        <f t="shared" si="5"/>
        <v>1</v>
      </c>
    </row>
    <row r="41" spans="1:29" ht="15">
      <c r="A41" s="423"/>
      <c r="B41" s="375" t="s">
        <v>1786</v>
      </c>
      <c r="C41" s="565" t="s">
        <v>3452</v>
      </c>
      <c r="D41" s="386">
        <v>100</v>
      </c>
      <c r="E41" s="565" t="s">
        <v>3452</v>
      </c>
      <c r="F41" s="412">
        <f>SUMIF(119:119,E41,120:120)-SUMIF(119:119,C41,120:120)+100</f>
        <v>100</v>
      </c>
      <c r="G41" s="565" t="s">
        <v>3452</v>
      </c>
      <c r="H41" s="386">
        <f>SUMIF(119:119,G41,120:120)-SUMIF(119:119,C41,120:120)+100</f>
        <v>100</v>
      </c>
      <c r="I41" s="565" t="s">
        <v>3452</v>
      </c>
      <c r="J41" s="386">
        <f>SUMIF(119:119,I41,120:120)-SUMIF(119:119,C41,120:120)+100</f>
        <v>100</v>
      </c>
      <c r="K41" s="561">
        <v>3</v>
      </c>
      <c r="L41" s="2715"/>
      <c r="M41" s="2709"/>
      <c r="N41" s="2709"/>
      <c r="O41" s="2709"/>
      <c r="P41" s="3702"/>
      <c r="Q41" s="1350" t="str">
        <f t="shared" si="11"/>
        <v>层高</v>
      </c>
      <c r="R41" s="703" t="s">
        <v>14</v>
      </c>
      <c r="S41" s="704">
        <f t="shared" si="12"/>
        <v>100</v>
      </c>
      <c r="T41" s="703" t="s">
        <v>14</v>
      </c>
      <c r="U41" s="704">
        <f t="shared" si="13"/>
        <v>100</v>
      </c>
      <c r="V41" s="703" t="s">
        <v>14</v>
      </c>
      <c r="W41" s="704">
        <f t="shared" si="14"/>
        <v>100</v>
      </c>
      <c r="X41" s="1353"/>
      <c r="Y41" s="3704"/>
      <c r="Z41" s="1354" t="str">
        <f t="shared" si="15"/>
        <v>层高</v>
      </c>
      <c r="AA41" s="1351">
        <f t="shared" si="3"/>
        <v>1</v>
      </c>
      <c r="AB41" s="1351">
        <f t="shared" si="4"/>
        <v>1</v>
      </c>
      <c r="AC41" s="1960">
        <f t="shared" si="5"/>
        <v>1</v>
      </c>
    </row>
    <row r="42" spans="1:29" s="422" customFormat="1" ht="15">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1351">
        <f t="shared" si="3"/>
        <v>1</v>
      </c>
      <c r="AB42" s="1351">
        <f t="shared" si="4"/>
        <v>1</v>
      </c>
      <c r="AC42" s="1960">
        <f t="shared" si="5"/>
        <v>1</v>
      </c>
    </row>
    <row r="43" spans="1:29" ht="15">
      <c r="A43" s="423"/>
      <c r="B43" s="375" t="s">
        <v>1789</v>
      </c>
      <c r="C43" s="411" t="s">
        <v>3432</v>
      </c>
      <c r="D43" s="386">
        <v>100</v>
      </c>
      <c r="E43" s="411" t="s">
        <v>3432</v>
      </c>
      <c r="F43" s="412">
        <f>SUMIF(123:123,E43,124:124)-SUMIF(123:123,C43,124:124)+100</f>
        <v>100</v>
      </c>
      <c r="G43" s="411" t="s">
        <v>3432</v>
      </c>
      <c r="H43" s="386">
        <f>SUMIF(123:123,G43,124:124)-SUMIF(123:123,C43,124:124)+100</f>
        <v>100</v>
      </c>
      <c r="I43" s="411" t="s">
        <v>3432</v>
      </c>
      <c r="J43" s="386">
        <f>SUMIF(123:123,I43,124:124)-SUMIF(123:123,C43,124:124)+100</f>
        <v>100</v>
      </c>
      <c r="K43" s="561">
        <v>2</v>
      </c>
      <c r="L43" s="2715"/>
      <c r="M43" s="2709"/>
      <c r="N43" s="2709"/>
      <c r="O43" s="2709"/>
      <c r="P43" s="3702"/>
      <c r="Q43" s="1350" t="str">
        <f t="shared" si="11"/>
        <v>内部装修</v>
      </c>
      <c r="R43" s="703" t="s">
        <v>14</v>
      </c>
      <c r="S43" s="704">
        <f t="shared" si="12"/>
        <v>100</v>
      </c>
      <c r="T43" s="703" t="s">
        <v>14</v>
      </c>
      <c r="U43" s="704">
        <f t="shared" si="13"/>
        <v>100</v>
      </c>
      <c r="V43" s="703" t="s">
        <v>14</v>
      </c>
      <c r="W43" s="704">
        <f t="shared" si="14"/>
        <v>100</v>
      </c>
      <c r="X43" s="1353"/>
      <c r="Y43" s="3704"/>
      <c r="Z43" s="1354" t="str">
        <f t="shared" si="15"/>
        <v>内部装修</v>
      </c>
      <c r="AA43" s="1351">
        <f t="shared" si="3"/>
        <v>1</v>
      </c>
      <c r="AB43" s="1351">
        <f t="shared" si="4"/>
        <v>1</v>
      </c>
      <c r="AC43" s="1960">
        <f t="shared" si="5"/>
        <v>1</v>
      </c>
    </row>
    <row r="44" spans="1:29" ht="15">
      <c r="A44" s="423"/>
      <c r="B44" s="375" t="s">
        <v>1704</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15"/>
      <c r="M44" s="2709"/>
      <c r="N44" s="2709"/>
      <c r="O44" s="2709"/>
      <c r="P44" s="3702"/>
      <c r="Q44" s="1350" t="str">
        <f t="shared" si="11"/>
        <v>内部装修维护情况</v>
      </c>
      <c r="R44" s="703" t="s">
        <v>14</v>
      </c>
      <c r="S44" s="704">
        <f t="shared" si="12"/>
        <v>100</v>
      </c>
      <c r="T44" s="703" t="s">
        <v>14</v>
      </c>
      <c r="U44" s="704">
        <f t="shared" si="13"/>
        <v>100</v>
      </c>
      <c r="V44" s="703" t="s">
        <v>14</v>
      </c>
      <c r="W44" s="704">
        <f t="shared" si="14"/>
        <v>100</v>
      </c>
      <c r="X44" s="1353"/>
      <c r="Y44" s="370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02"/>
      <c r="Q45" s="1341">
        <f t="shared" si="11"/>
        <v>111</v>
      </c>
      <c r="R45" s="699" t="s">
        <v>14</v>
      </c>
      <c r="S45" s="700">
        <f t="shared" si="12"/>
        <v>100</v>
      </c>
      <c r="T45" s="699" t="s">
        <v>14</v>
      </c>
      <c r="U45" s="700">
        <f t="shared" si="13"/>
        <v>100</v>
      </c>
      <c r="V45" s="699" t="s">
        <v>14</v>
      </c>
      <c r="W45" s="700">
        <f t="shared" si="14"/>
        <v>100</v>
      </c>
      <c r="X45" s="701"/>
      <c r="Y45" s="370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02"/>
      <c r="Q46" s="1350">
        <f t="shared" si="11"/>
        <v>111</v>
      </c>
      <c r="R46" s="703" t="s">
        <v>14</v>
      </c>
      <c r="S46" s="704">
        <f t="shared" si="12"/>
        <v>100</v>
      </c>
      <c r="T46" s="703" t="s">
        <v>14</v>
      </c>
      <c r="U46" s="704">
        <f t="shared" si="13"/>
        <v>100</v>
      </c>
      <c r="V46" s="703" t="s">
        <v>14</v>
      </c>
      <c r="W46" s="704">
        <f t="shared" si="14"/>
        <v>100</v>
      </c>
      <c r="X46" s="1353"/>
      <c r="Y46" s="370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3"/>
      <c r="Q47" s="1350">
        <f t="shared" si="11"/>
        <v>111</v>
      </c>
      <c r="R47" s="703" t="s">
        <v>14</v>
      </c>
      <c r="S47" s="704">
        <f t="shared" si="12"/>
        <v>100</v>
      </c>
      <c r="T47" s="703" t="s">
        <v>14</v>
      </c>
      <c r="U47" s="704">
        <f t="shared" si="13"/>
        <v>100</v>
      </c>
      <c r="V47" s="703" t="s">
        <v>14</v>
      </c>
      <c r="W47" s="704">
        <f t="shared" si="14"/>
        <v>100</v>
      </c>
      <c r="X47" s="1353"/>
      <c r="Y47" s="3705"/>
      <c r="Z47" s="1354">
        <f t="shared" si="15"/>
        <v>111</v>
      </c>
      <c r="AA47" s="1351">
        <f t="shared" si="3"/>
        <v>1</v>
      </c>
      <c r="AB47" s="1351">
        <f t="shared" si="4"/>
        <v>1</v>
      </c>
      <c r="AC47" s="1960">
        <f t="shared" si="5"/>
        <v>1</v>
      </c>
    </row>
    <row r="48" spans="1:29" ht="15">
      <c r="A48" s="430" t="s">
        <v>1705</v>
      </c>
      <c r="B48" s="431"/>
      <c r="C48" s="1152" t="s">
        <v>0</v>
      </c>
      <c r="D48" s="1153"/>
      <c r="E48" s="1154">
        <v>38500</v>
      </c>
      <c r="F48" s="1155"/>
      <c r="G48" s="1154">
        <f>ROUND(38501*G51,0)</f>
        <v>38501</v>
      </c>
      <c r="H48" s="1157"/>
      <c r="I48" s="1154">
        <v>39500</v>
      </c>
      <c r="J48" s="436"/>
      <c r="K48" s="712"/>
      <c r="L48" s="2717"/>
      <c r="M48" s="2709"/>
      <c r="N48" s="2709"/>
      <c r="O48" s="2709"/>
      <c r="P48" s="3708" t="str">
        <f>A48</f>
        <v>成交单价（元/平方米）</v>
      </c>
      <c r="Q48" s="3697"/>
      <c r="R48" s="3698">
        <f>E48</f>
        <v>38500</v>
      </c>
      <c r="S48" s="3698"/>
      <c r="T48" s="3698">
        <f>G48</f>
        <v>38501</v>
      </c>
      <c r="U48" s="3698"/>
      <c r="V48" s="3698">
        <f>I48</f>
        <v>39500</v>
      </c>
      <c r="W48" s="3698"/>
      <c r="X48" s="397"/>
      <c r="Y48" s="710"/>
      <c r="Z48" s="397"/>
      <c r="AA48" s="397"/>
      <c r="AB48" s="397"/>
      <c r="AC48" s="578"/>
    </row>
    <row r="49" spans="1:29" ht="15.75" thickBot="1">
      <c r="A49" s="437" t="s">
        <v>1790</v>
      </c>
      <c r="B49" s="438"/>
      <c r="C49" s="1158">
        <f>R50</f>
        <v>37447</v>
      </c>
      <c r="D49" s="2315" t="s">
        <v>2133</v>
      </c>
      <c r="E49" s="1159">
        <f>R49</f>
        <v>37371</v>
      </c>
      <c r="F49" s="2316"/>
      <c r="G49" s="1158">
        <f>T49</f>
        <v>37372</v>
      </c>
      <c r="H49" s="2316"/>
      <c r="I49" s="1159">
        <f>V49</f>
        <v>37598</v>
      </c>
      <c r="J49" s="2316"/>
      <c r="K49" s="2318">
        <f>F49+H49+J49</f>
        <v>0</v>
      </c>
      <c r="L49" s="2717"/>
      <c r="M49" s="2709"/>
      <c r="N49" s="2709"/>
      <c r="O49" s="2709"/>
      <c r="P49" s="3708" t="str">
        <f>A49</f>
        <v>比较价值（元/平方米）</v>
      </c>
      <c r="Q49" s="3697"/>
      <c r="R49" s="3698">
        <f>IF(F1="售价",ROUND(PRODUCT(R48,AA7:AA47),0),ROUND(PRODUCT(R48,AA7:AA47),1))</f>
        <v>37371</v>
      </c>
      <c r="S49" s="3698"/>
      <c r="T49" s="3698">
        <f>IF(F1="售价",ROUND(PRODUCT(T48,AB7:AB47),0),ROUND(PRODUCT(T48,AB7:AB47),1))</f>
        <v>37372</v>
      </c>
      <c r="U49" s="3698"/>
      <c r="V49" s="3698">
        <f>IF(F1="售价",ROUND(PRODUCT(V48,AC7:AC47),0),ROUND(PRODUCT(V48,AC7:AC47),1))</f>
        <v>37598</v>
      </c>
      <c r="W49" s="3698"/>
      <c r="X49" s="397"/>
      <c r="Y49" s="397"/>
      <c r="Z49" s="397"/>
      <c r="AA49" s="397"/>
      <c r="AB49" s="397"/>
      <c r="AC49" s="578"/>
    </row>
    <row r="50" spans="1:29" ht="15.75" thickBot="1">
      <c r="A50" s="441" t="s">
        <v>1791</v>
      </c>
      <c r="B50" s="442"/>
      <c r="C50" s="1161">
        <f>R50</f>
        <v>37447</v>
      </c>
      <c r="D50" s="1161"/>
      <c r="E50" s="1161"/>
      <c r="F50" s="1161"/>
      <c r="G50" s="1161"/>
      <c r="H50" s="1161"/>
      <c r="I50" s="1161"/>
      <c r="J50" s="443"/>
      <c r="K50" s="713"/>
      <c r="L50" s="2717"/>
      <c r="M50" s="2709"/>
      <c r="N50" s="2709"/>
      <c r="O50" s="2709"/>
      <c r="P50" s="3740" t="str">
        <f>A50</f>
        <v>估价对象XX用房的比较价值（楼面单价，元/平方米）</v>
      </c>
      <c r="Q50" s="3741"/>
      <c r="R50" s="3742">
        <f>IF(F1="售价",ROUND(IF(D49="简单平均",AVERAGE(R49:V49),R49*F49+T49*H49+V49*J49),0),ROUND(IF(D49="简单平均",AVERAGE(R49:V49),R49*F49+T49*H49+V49*J49),1))</f>
        <v>37447</v>
      </c>
      <c r="S50" s="3742"/>
      <c r="T50" s="3742"/>
      <c r="U50" s="3742"/>
      <c r="V50" s="3742"/>
      <c r="W50" s="3742"/>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1792</v>
      </c>
      <c r="D53" s="447"/>
      <c r="E53" s="448">
        <f>IF(E48&lt;E49,E49/E48-1,E48/E49-1)</f>
        <v>3.0210591100050754E-2</v>
      </c>
      <c r="F53" s="449" t="str">
        <f>IF(OR(E53&gt;=0.3,E53&lt;=-0.3),"超过30%","")</f>
        <v/>
      </c>
      <c r="G53" s="448">
        <f>IF(G48&lt;G49,G49/G48-1,G48/G49-1)</f>
        <v>3.0209782725034717E-2</v>
      </c>
      <c r="H53" s="449" t="str">
        <f>IF(OR(G53&gt;=0.3,G53&lt;=-0.3),"超过30%","")</f>
        <v/>
      </c>
      <c r="I53" s="448">
        <f>IF(I48&lt;I49,I49/I48-1,I48/I49-1)</f>
        <v>5.0587797223256459E-2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1793</v>
      </c>
      <c r="D54" s="450"/>
      <c r="E54" s="448">
        <f>IF(E49&lt;G49,G49/E49-1,E49/G49-1)</f>
        <v>2.6758716652031111E-5</v>
      </c>
      <c r="F54" s="449" t="str">
        <f>IF(OR(E54&gt;=0.2,E54&lt;=-0.2),"超过20%","")</f>
        <v/>
      </c>
      <c r="G54" s="448">
        <f>IF(G49&lt;I49,I49/G49-1,G49/I49-1)</f>
        <v>6.0473081451353217E-3</v>
      </c>
      <c r="H54" s="449" t="str">
        <f>IF(OR(G54&gt;=0.2,G54&lt;=-0.2),"超过20%","")</f>
        <v/>
      </c>
      <c r="I54" s="448">
        <f>IF(I49&lt;E49,E49/I49-1,I49/E49-1)</f>
        <v>6.0742286799924106E-3</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1794</v>
      </c>
      <c r="D55" s="450"/>
      <c r="E55" s="448">
        <f>IF(E48&lt;G48,G48/E48-1,E48/G48-1)</f>
        <v>2.5974025974040416E-5</v>
      </c>
      <c r="F55" s="449" t="str">
        <f>IF(OR(E55&gt;=0.3,E55&lt;=-0.3),"超过30%","")</f>
        <v/>
      </c>
      <c r="G55" s="448">
        <f>IF(G48&lt;I48,I48/G48-1,G48/I48-1)</f>
        <v>2.5947377990181986E-2</v>
      </c>
      <c r="H55" s="449" t="str">
        <f>IF(OR(G55&gt;=0.3,G55&lt;=-0.3),"超过30%","")</f>
        <v/>
      </c>
      <c r="I55" s="448">
        <f>IF(I48&lt;E48,E48/I48-1,I48/E48-1)</f>
        <v>2.5974025974025983E-2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1795</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1676</v>
      </c>
      <c r="B59" s="455"/>
      <c r="C59" s="1182" t="str">
        <f>YEAR(C7)&amp;"-"&amp;MONTH(C7)</f>
        <v>2023-4</v>
      </c>
      <c r="D59" s="1183">
        <f>EDATE(C59,-1)</f>
        <v>44986</v>
      </c>
      <c r="E59" s="1183">
        <f>EDATE(D59,-1)</f>
        <v>44958</v>
      </c>
      <c r="F59" s="1183">
        <f t="shared" ref="F59:O59" si="16">EDATE(E59,-1)</f>
        <v>44927</v>
      </c>
      <c r="G59" s="1183">
        <f t="shared" si="16"/>
        <v>44896</v>
      </c>
      <c r="H59" s="1183">
        <f t="shared" si="16"/>
        <v>44866</v>
      </c>
      <c r="I59" s="1183">
        <f t="shared" si="16"/>
        <v>44835</v>
      </c>
      <c r="J59" s="1183">
        <f t="shared" si="16"/>
        <v>44805</v>
      </c>
      <c r="K59" s="1183">
        <f t="shared" si="16"/>
        <v>44774</v>
      </c>
      <c r="L59" s="1183">
        <f t="shared" si="16"/>
        <v>44743</v>
      </c>
      <c r="M59" s="1183">
        <f t="shared" si="16"/>
        <v>44713</v>
      </c>
      <c r="N59" s="1183">
        <f t="shared" si="16"/>
        <v>44682</v>
      </c>
      <c r="O59" s="1183">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1713</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1678</v>
      </c>
      <c r="B62" s="459"/>
      <c r="C62" s="471" t="s">
        <v>1773</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1716</v>
      </c>
      <c r="B64" s="477" t="s">
        <v>1682</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1685</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1687</v>
      </c>
      <c r="B77" s="477" t="s">
        <v>1818</v>
      </c>
      <c r="C77" s="522" t="s">
        <v>1718</v>
      </c>
      <c r="D77" s="522" t="s">
        <v>1719</v>
      </c>
      <c r="E77" s="522" t="s">
        <v>1720</v>
      </c>
      <c r="F77" s="522" t="s">
        <v>1721</v>
      </c>
      <c r="G77" s="522" t="s">
        <v>1722</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1723</v>
      </c>
      <c r="C79" s="527" t="s">
        <v>1718</v>
      </c>
      <c r="D79" s="527" t="s">
        <v>1719</v>
      </c>
      <c r="E79" s="527" t="s">
        <v>1720</v>
      </c>
      <c r="F79" s="527" t="s">
        <v>1721</v>
      </c>
      <c r="G79" s="527" t="s">
        <v>1722</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1724</v>
      </c>
      <c r="C81" s="527" t="s">
        <v>1718</v>
      </c>
      <c r="D81" s="527" t="s">
        <v>1719</v>
      </c>
      <c r="E81" s="527" t="s">
        <v>1720</v>
      </c>
      <c r="F81" s="527" t="s">
        <v>1721</v>
      </c>
      <c r="G81" s="527" t="s">
        <v>1722</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1810</v>
      </c>
      <c r="C83" s="608" t="s">
        <v>1796</v>
      </c>
      <c r="D83" s="608" t="s">
        <v>1797</v>
      </c>
      <c r="E83" s="608" t="s">
        <v>1798</v>
      </c>
      <c r="F83" s="608" t="s">
        <v>1799</v>
      </c>
      <c r="G83" s="608" t="s">
        <v>1800</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1819</v>
      </c>
      <c r="C85" s="527" t="s">
        <v>1718</v>
      </c>
      <c r="D85" s="527" t="s">
        <v>1719</v>
      </c>
      <c r="E85" s="527" t="s">
        <v>1720</v>
      </c>
      <c r="F85" s="527" t="s">
        <v>1721</v>
      </c>
      <c r="G85" s="527" t="s">
        <v>1722</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1820</v>
      </c>
      <c r="C87" s="3444" t="s">
        <v>3399</v>
      </c>
      <c r="D87" s="3444" t="s">
        <v>3400</v>
      </c>
      <c r="E87" s="3444" t="s">
        <v>3401</v>
      </c>
      <c r="F87" s="3444" t="s">
        <v>3402</v>
      </c>
      <c r="G87" s="3444" t="s">
        <v>3403</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3404</v>
      </c>
      <c r="D89" s="3444" t="s">
        <v>3406</v>
      </c>
      <c r="E89" s="3444" t="s">
        <v>3407</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1691</v>
      </c>
      <c r="B101" s="477" t="s">
        <v>1733</v>
      </c>
      <c r="C101" s="3445" t="s">
        <v>3408</v>
      </c>
      <c r="D101" s="3445" t="s">
        <v>3409</v>
      </c>
      <c r="E101" s="3445" t="s">
        <v>3410</v>
      </c>
      <c r="F101" s="3445" t="s">
        <v>3411</v>
      </c>
      <c r="G101" s="3445" t="s">
        <v>3412</v>
      </c>
      <c r="H101" s="3445" t="s">
        <v>3413</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1734</v>
      </c>
      <c r="C103" s="527" t="str">
        <f>C104&amp;"(含)"&amp;"-"&amp;D104</f>
        <v>100(含)-300</v>
      </c>
      <c r="D103" s="527" t="str">
        <f t="shared" ref="D103:L103" si="23">D104&amp;"(含)"&amp;"-"&amp;E104</f>
        <v>300(含)-500</v>
      </c>
      <c r="E103" s="527" t="str">
        <f t="shared" si="23"/>
        <v>500(含)-1000</v>
      </c>
      <c r="F103" s="527" t="str">
        <f t="shared" si="23"/>
        <v>1000(含)-2000</v>
      </c>
      <c r="G103" s="527" t="str">
        <f t="shared" si="23"/>
        <v>2000(含)-4000</v>
      </c>
      <c r="H103" s="527" t="str">
        <f t="shared" si="23"/>
        <v>4000(含)-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1000</v>
      </c>
      <c r="G104" s="3446">
        <v>2000</v>
      </c>
      <c r="H104" s="3446">
        <v>4000</v>
      </c>
      <c r="I104" s="3446"/>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v>
      </c>
      <c r="D105" s="3447">
        <v>100</v>
      </c>
      <c r="E105" s="3447">
        <f>D105-1</f>
        <v>99</v>
      </c>
      <c r="F105" s="3447">
        <f t="shared" ref="F105" si="24">E105-1</f>
        <v>98</v>
      </c>
      <c r="G105" s="3447">
        <f t="shared" ref="G105" si="25">F105-1</f>
        <v>97</v>
      </c>
      <c r="H105" s="3447">
        <f t="shared" ref="H105" si="26">G105-1</f>
        <v>96</v>
      </c>
      <c r="I105" s="3447"/>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1735</v>
      </c>
      <c r="C106" s="3448" t="s">
        <v>3414</v>
      </c>
      <c r="D106" s="3448" t="s">
        <v>3415</v>
      </c>
      <c r="E106" s="3449" t="s">
        <v>3416</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1737</v>
      </c>
      <c r="C108" s="3448" t="s">
        <v>3417</v>
      </c>
      <c r="D108" s="3448" t="s">
        <v>3418</v>
      </c>
      <c r="E108" s="3448" t="s">
        <v>3419</v>
      </c>
      <c r="F108" s="3449" t="s">
        <v>3420</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1821</v>
      </c>
      <c r="C113" s="3448" t="s">
        <v>3421</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1738</v>
      </c>
      <c r="C115" s="3444" t="s">
        <v>3423</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1739</v>
      </c>
      <c r="C117" s="3448" t="s">
        <v>3424</v>
      </c>
      <c r="D117" s="3448" t="s">
        <v>3425</v>
      </c>
      <c r="E117" s="3448" t="s">
        <v>3426</v>
      </c>
      <c r="F117" s="3448" t="s">
        <v>3427</v>
      </c>
      <c r="G117" s="3448" t="s">
        <v>3428</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1822</v>
      </c>
      <c r="C119" s="3449" t="s">
        <v>3429</v>
      </c>
      <c r="D119" s="3449" t="s">
        <v>3430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1805</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1741</v>
      </c>
      <c r="C123" s="3448" t="s">
        <v>3417</v>
      </c>
      <c r="D123" s="3448" t="s">
        <v>3418</v>
      </c>
      <c r="E123" s="3448" t="s">
        <v>3419</v>
      </c>
      <c r="F123" s="3449" t="s">
        <v>3420</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1823</v>
      </c>
      <c r="C1" s="1222" t="s">
        <v>1659</v>
      </c>
      <c r="D1" s="1223"/>
      <c r="E1" s="3428"/>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3455.7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911"/>
      <c r="M4" s="912"/>
      <c r="N4" s="912"/>
      <c r="O4" s="912"/>
      <c r="P4" s="3716" t="s">
        <v>1772</v>
      </c>
      <c r="Q4" s="3717"/>
      <c r="R4" s="3722" t="s">
        <v>1768</v>
      </c>
      <c r="S4" s="3723"/>
      <c r="T4" s="3722" t="s">
        <v>1769</v>
      </c>
      <c r="U4" s="3723"/>
      <c r="V4" s="3728" t="s">
        <v>1770</v>
      </c>
      <c r="W4" s="3728"/>
      <c r="X4" s="1353"/>
      <c r="Y4" s="3722" t="s">
        <v>1772</v>
      </c>
      <c r="Z4" s="3723"/>
      <c r="AA4" s="3709" t="s">
        <v>1768</v>
      </c>
      <c r="AB4" s="3710" t="s">
        <v>1769</v>
      </c>
      <c r="AC4" s="3709" t="s">
        <v>1770</v>
      </c>
    </row>
    <row r="5" spans="1:29" ht="15">
      <c r="A5" s="358"/>
      <c r="B5" s="359"/>
      <c r="C5" s="3731" t="s">
        <v>1670</v>
      </c>
      <c r="D5" s="3732"/>
      <c r="E5" s="3738" t="s">
        <v>1671</v>
      </c>
      <c r="F5" s="3739"/>
      <c r="G5" s="3731" t="s">
        <v>1672</v>
      </c>
      <c r="H5" s="3732"/>
      <c r="I5" s="3731" t="s">
        <v>1673</v>
      </c>
      <c r="J5" s="3732"/>
      <c r="K5" s="559"/>
      <c r="L5" s="911"/>
      <c r="M5" s="912"/>
      <c r="N5" s="912"/>
      <c r="O5" s="912"/>
      <c r="P5" s="3718"/>
      <c r="Q5" s="3719"/>
      <c r="R5" s="3724"/>
      <c r="S5" s="3725"/>
      <c r="T5" s="3724"/>
      <c r="U5" s="3725"/>
      <c r="V5" s="3728"/>
      <c r="W5" s="3728"/>
      <c r="X5" s="1353"/>
      <c r="Y5" s="3724"/>
      <c r="Z5" s="3725"/>
      <c r="AA5" s="3710"/>
      <c r="AB5" s="3710"/>
      <c r="AC5" s="3710"/>
    </row>
    <row r="6" spans="1:29" ht="15.75" thickBot="1">
      <c r="A6" s="360"/>
      <c r="B6" s="361"/>
      <c r="C6" s="3729" t="s">
        <v>1674</v>
      </c>
      <c r="D6" s="3730"/>
      <c r="E6" s="3736" t="s">
        <v>1674</v>
      </c>
      <c r="F6" s="3737"/>
      <c r="G6" s="3729" t="s">
        <v>1674</v>
      </c>
      <c r="H6" s="3730"/>
      <c r="I6" s="3729" t="s">
        <v>1674</v>
      </c>
      <c r="J6" s="3730"/>
      <c r="K6" s="559" t="s">
        <v>1675</v>
      </c>
      <c r="L6" s="911"/>
      <c r="M6" s="912"/>
      <c r="N6" s="912"/>
      <c r="O6" s="912"/>
      <c r="P6" s="3720"/>
      <c r="Q6" s="3721"/>
      <c r="R6" s="3724"/>
      <c r="S6" s="3725"/>
      <c r="T6" s="3726"/>
      <c r="U6" s="3727"/>
      <c r="V6" s="3728"/>
      <c r="W6" s="3728"/>
      <c r="X6" s="1353"/>
      <c r="Y6" s="3726"/>
      <c r="Z6" s="3727"/>
      <c r="AA6" s="3711"/>
      <c r="AB6" s="3711"/>
      <c r="AC6" s="3711"/>
    </row>
    <row r="7" spans="1:29" s="108" customFormat="1" ht="15.75" thickBot="1">
      <c r="A7" s="362" t="s">
        <v>1676</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3"/>
      <c r="M7" s="914"/>
      <c r="N7" s="914"/>
      <c r="O7" s="914"/>
      <c r="P7" s="3733" t="s">
        <v>1677</v>
      </c>
      <c r="Q7" s="3735"/>
      <c r="R7" s="699" t="s">
        <v>14</v>
      </c>
      <c r="S7" s="700">
        <f t="shared" ref="S7:S15" si="0">F7</f>
        <v>0</v>
      </c>
      <c r="T7" s="699" t="s">
        <v>14</v>
      </c>
      <c r="U7" s="700">
        <f t="shared" ref="U7:U15" si="1">H7</f>
        <v>0</v>
      </c>
      <c r="V7" s="699" t="s">
        <v>14</v>
      </c>
      <c r="W7" s="700">
        <f t="shared" ref="W7:W15" si="2">J7</f>
        <v>0</v>
      </c>
      <c r="X7" s="701"/>
      <c r="Y7" s="3733" t="s">
        <v>1677</v>
      </c>
      <c r="Z7" s="3734"/>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3" t="s">
        <v>1680</v>
      </c>
      <c r="Q8" s="3734"/>
      <c r="R8" s="699" t="s">
        <v>14</v>
      </c>
      <c r="S8" s="700">
        <f t="shared" si="0"/>
        <v>100</v>
      </c>
      <c r="T8" s="699" t="s">
        <v>14</v>
      </c>
      <c r="U8" s="700">
        <f t="shared" si="1"/>
        <v>100</v>
      </c>
      <c r="V8" s="699" t="s">
        <v>14</v>
      </c>
      <c r="W8" s="700">
        <f t="shared" si="2"/>
        <v>100</v>
      </c>
      <c r="X8" s="701"/>
      <c r="Y8" s="3733" t="s">
        <v>1680</v>
      </c>
      <c r="Z8" s="3734"/>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57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578"/>
      <c r="Z14" s="52">
        <f t="shared" si="7"/>
        <v>111</v>
      </c>
      <c r="AA14" s="702">
        <f t="shared" si="3"/>
        <v>1</v>
      </c>
      <c r="AB14" s="702">
        <f t="shared" si="4"/>
        <v>1</v>
      </c>
      <c r="AC14" s="702">
        <f t="shared" si="5"/>
        <v>1</v>
      </c>
    </row>
    <row r="15" spans="1:29" ht="57">
      <c r="A15" s="391" t="s">
        <v>1687</v>
      </c>
      <c r="B15" s="61" t="s">
        <v>1824</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9" t="s">
        <v>1688</v>
      </c>
      <c r="Q15" s="1350" t="str">
        <f t="shared" si="6"/>
        <v>产业集聚程度</v>
      </c>
      <c r="R15" s="703" t="s">
        <v>14</v>
      </c>
      <c r="S15" s="704">
        <f t="shared" si="0"/>
        <v>100</v>
      </c>
      <c r="T15" s="703" t="s">
        <v>14</v>
      </c>
      <c r="U15" s="704">
        <f t="shared" si="1"/>
        <v>100</v>
      </c>
      <c r="V15" s="703" t="s">
        <v>14</v>
      </c>
      <c r="W15" s="704">
        <f t="shared" si="2"/>
        <v>100</v>
      </c>
      <c r="X15" s="1353"/>
      <c r="Y15" s="3699" t="s">
        <v>1688</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0"/>
      <c r="Q16" s="1350"/>
      <c r="R16" s="703"/>
      <c r="S16" s="704"/>
      <c r="T16" s="703"/>
      <c r="U16" s="704"/>
      <c r="V16" s="703"/>
      <c r="W16" s="704"/>
      <c r="X16" s="1353"/>
      <c r="Y16" s="3700"/>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0"/>
      <c r="Q18" s="1350"/>
      <c r="R18" s="703"/>
      <c r="S18" s="704"/>
      <c r="T18" s="703"/>
      <c r="U18" s="704"/>
      <c r="V18" s="703"/>
      <c r="W18" s="704"/>
      <c r="X18" s="1353"/>
      <c r="Y18" s="3700"/>
      <c r="Z18" s="1354"/>
      <c r="AA18" s="1351">
        <v>1</v>
      </c>
      <c r="AB18" s="1351">
        <v>1</v>
      </c>
      <c r="AC18" s="1351">
        <v>1</v>
      </c>
    </row>
    <row r="19" spans="1:29" ht="42.75">
      <c r="A19" s="379"/>
      <c r="B19" s="402" t="s">
        <v>1809</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0"/>
      <c r="Q19" s="1350" t="str">
        <f>B19</f>
        <v>公共配套设施</v>
      </c>
      <c r="R19" s="703" t="s">
        <v>14</v>
      </c>
      <c r="S19" s="704">
        <f>F19</f>
        <v>100</v>
      </c>
      <c r="T19" s="703" t="s">
        <v>14</v>
      </c>
      <c r="U19" s="704">
        <f>H19</f>
        <v>100</v>
      </c>
      <c r="V19" s="703" t="s">
        <v>14</v>
      </c>
      <c r="W19" s="704">
        <f>J19</f>
        <v>100</v>
      </c>
      <c r="X19" s="1353"/>
      <c r="Y19" s="370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0"/>
      <c r="Q20" s="1350"/>
      <c r="R20" s="703"/>
      <c r="S20" s="704"/>
      <c r="T20" s="703"/>
      <c r="U20" s="704"/>
      <c r="V20" s="703"/>
      <c r="W20" s="704"/>
      <c r="X20" s="1353"/>
      <c r="Y20" s="3700"/>
      <c r="Z20" s="1354"/>
      <c r="AA20" s="1351">
        <v>1</v>
      </c>
      <c r="AB20" s="1351">
        <v>1</v>
      </c>
      <c r="AC20" s="1351">
        <v>1</v>
      </c>
    </row>
    <row r="21" spans="1:29" ht="28.5">
      <c r="A21" s="379"/>
      <c r="B21" s="1129" t="s">
        <v>1810</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0"/>
      <c r="Q21" s="1350" t="str">
        <f>B21</f>
        <v>基础设施水平</v>
      </c>
      <c r="R21" s="703" t="s">
        <v>14</v>
      </c>
      <c r="S21" s="704">
        <f>F21</f>
        <v>100</v>
      </c>
      <c r="T21" s="703" t="s">
        <v>14</v>
      </c>
      <c r="U21" s="704">
        <f>H21</f>
        <v>100</v>
      </c>
      <c r="V21" s="703" t="s">
        <v>14</v>
      </c>
      <c r="W21" s="704">
        <f>J21</f>
        <v>100</v>
      </c>
      <c r="X21" s="1353"/>
      <c r="Y21" s="370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0"/>
      <c r="Q22" s="1350"/>
      <c r="R22" s="703"/>
      <c r="S22" s="704"/>
      <c r="T22" s="703"/>
      <c r="U22" s="704"/>
      <c r="V22" s="703"/>
      <c r="W22" s="704"/>
      <c r="X22" s="1353"/>
      <c r="Y22" s="3700"/>
      <c r="Z22" s="1354"/>
      <c r="AA22" s="1351">
        <v>1</v>
      </c>
      <c r="AB22" s="1351">
        <v>1</v>
      </c>
      <c r="AC22" s="1351">
        <v>1</v>
      </c>
    </row>
    <row r="23" spans="1:29" ht="71.25">
      <c r="A23" s="379"/>
      <c r="B23" s="402" t="s">
        <v>1811</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0"/>
      <c r="Q23" s="1350" t="str">
        <f>B23</f>
        <v>环境质量</v>
      </c>
      <c r="R23" s="703" t="s">
        <v>14</v>
      </c>
      <c r="S23" s="704">
        <f>F23</f>
        <v>100</v>
      </c>
      <c r="T23" s="703" t="s">
        <v>14</v>
      </c>
      <c r="U23" s="704">
        <f>H23</f>
        <v>100</v>
      </c>
      <c r="V23" s="703" t="s">
        <v>14</v>
      </c>
      <c r="W23" s="704">
        <f>J23</f>
        <v>100</v>
      </c>
      <c r="X23" s="1353"/>
      <c r="Y23" s="370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0"/>
      <c r="Q24" s="1350"/>
      <c r="R24" s="703"/>
      <c r="S24" s="704"/>
      <c r="T24" s="703"/>
      <c r="U24" s="704"/>
      <c r="V24" s="703"/>
      <c r="W24" s="704"/>
      <c r="X24" s="1353"/>
      <c r="Y24" s="370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0"/>
      <c r="Q25" s="1350">
        <f>B25</f>
        <v>111</v>
      </c>
      <c r="R25" s="703" t="s">
        <v>14</v>
      </c>
      <c r="S25" s="704">
        <f>F25</f>
        <v>100</v>
      </c>
      <c r="T25" s="703" t="s">
        <v>14</v>
      </c>
      <c r="U25" s="704">
        <f>H25</f>
        <v>100</v>
      </c>
      <c r="V25" s="703" t="s">
        <v>14</v>
      </c>
      <c r="W25" s="704">
        <f>J25</f>
        <v>100</v>
      </c>
      <c r="X25" s="1353"/>
      <c r="Y25" s="370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0"/>
      <c r="Q26" s="1350">
        <f t="shared" ref="Q26:Q40" si="11">B26</f>
        <v>111</v>
      </c>
      <c r="R26" s="703" t="s">
        <v>14</v>
      </c>
      <c r="S26" s="704">
        <f>F26</f>
        <v>100</v>
      </c>
      <c r="T26" s="703" t="s">
        <v>14</v>
      </c>
      <c r="U26" s="704">
        <f>H26</f>
        <v>100</v>
      </c>
      <c r="V26" s="703" t="s">
        <v>14</v>
      </c>
      <c r="W26" s="704">
        <f>J26</f>
        <v>100</v>
      </c>
      <c r="X26" s="1353"/>
      <c r="Y26" s="370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0"/>
      <c r="Q27" s="1341">
        <f t="shared" si="11"/>
        <v>111</v>
      </c>
      <c r="R27" s="699" t="s">
        <v>14</v>
      </c>
      <c r="S27" s="700">
        <f>F27</f>
        <v>100</v>
      </c>
      <c r="T27" s="699" t="s">
        <v>14</v>
      </c>
      <c r="U27" s="700">
        <f>H27</f>
        <v>100</v>
      </c>
      <c r="V27" s="699" t="s">
        <v>14</v>
      </c>
      <c r="W27" s="700">
        <f>J27</f>
        <v>100</v>
      </c>
      <c r="X27" s="701"/>
      <c r="Y27" s="370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0"/>
      <c r="Q28" s="1350">
        <f t="shared" si="11"/>
        <v>111</v>
      </c>
      <c r="R28" s="703" t="s">
        <v>14</v>
      </c>
      <c r="S28" s="704">
        <f t="shared" ref="S28:S40" si="12">F28</f>
        <v>100</v>
      </c>
      <c r="T28" s="703" t="s">
        <v>14</v>
      </c>
      <c r="U28" s="704">
        <f t="shared" ref="U28:U40" si="13">H28</f>
        <v>100</v>
      </c>
      <c r="V28" s="703" t="s">
        <v>14</v>
      </c>
      <c r="W28" s="704">
        <f t="shared" ref="W28:W40" si="14">J28</f>
        <v>100</v>
      </c>
      <c r="X28" s="1353"/>
      <c r="Y28" s="3700"/>
      <c r="Z28" s="1354">
        <f t="shared" ref="Z28:Z40" si="15">Q28</f>
        <v>111</v>
      </c>
      <c r="AA28" s="1351">
        <f t="shared" si="3"/>
        <v>1</v>
      </c>
      <c r="AB28" s="1351">
        <f t="shared" si="4"/>
        <v>1</v>
      </c>
      <c r="AC28" s="1351">
        <f t="shared" si="5"/>
        <v>1</v>
      </c>
    </row>
    <row r="29" spans="1:29" ht="28.5">
      <c r="A29" s="417" t="s">
        <v>1691</v>
      </c>
      <c r="B29" s="63" t="s">
        <v>1814</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6" t="s">
        <v>1693</v>
      </c>
      <c r="Q29" s="1350" t="str">
        <f t="shared" si="11"/>
        <v>建筑类型</v>
      </c>
      <c r="R29" s="703" t="s">
        <v>14</v>
      </c>
      <c r="S29" s="704">
        <f t="shared" si="12"/>
        <v>100</v>
      </c>
      <c r="T29" s="703" t="s">
        <v>14</v>
      </c>
      <c r="U29" s="704">
        <f t="shared" si="13"/>
        <v>100</v>
      </c>
      <c r="V29" s="703" t="s">
        <v>14</v>
      </c>
      <c r="W29" s="704">
        <f t="shared" si="14"/>
        <v>100</v>
      </c>
      <c r="X29" s="1353"/>
      <c r="Y29" s="3704" t="s">
        <v>1693</v>
      </c>
      <c r="Z29" s="1354" t="str">
        <f t="shared" si="15"/>
        <v>建筑类型</v>
      </c>
      <c r="AA29" s="1351">
        <f t="shared" si="3"/>
        <v>1</v>
      </c>
      <c r="AB29" s="1351">
        <f t="shared" si="4"/>
        <v>1</v>
      </c>
      <c r="AC29" s="1351">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51" t="e">
        <f t="shared" si="3"/>
        <v>#N/A</v>
      </c>
      <c r="AB30" s="1351" t="e">
        <f t="shared" si="4"/>
        <v>#N/A</v>
      </c>
      <c r="AC30" s="1351"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4"/>
      <c r="Q31" s="1350" t="str">
        <f t="shared" si="11"/>
        <v>建筑结构</v>
      </c>
      <c r="R31" s="703" t="s">
        <v>14</v>
      </c>
      <c r="S31" s="704">
        <f t="shared" si="12"/>
        <v>100</v>
      </c>
      <c r="T31" s="703" t="s">
        <v>14</v>
      </c>
      <c r="U31" s="704">
        <f t="shared" si="13"/>
        <v>100</v>
      </c>
      <c r="V31" s="703" t="s">
        <v>14</v>
      </c>
      <c r="W31" s="704">
        <f t="shared" si="14"/>
        <v>100</v>
      </c>
      <c r="X31" s="1353"/>
      <c r="Y31" s="3704"/>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4"/>
      <c r="Q32" s="1350" t="str">
        <f t="shared" si="11"/>
        <v>公共部分装修</v>
      </c>
      <c r="R32" s="703" t="s">
        <v>14</v>
      </c>
      <c r="S32" s="704">
        <f t="shared" si="12"/>
        <v>100</v>
      </c>
      <c r="T32" s="703" t="s">
        <v>14</v>
      </c>
      <c r="U32" s="704">
        <f t="shared" si="13"/>
        <v>100</v>
      </c>
      <c r="V32" s="703" t="s">
        <v>14</v>
      </c>
      <c r="W32" s="704">
        <f t="shared" si="14"/>
        <v>100</v>
      </c>
      <c r="X32" s="1353"/>
      <c r="Y32" s="3704"/>
      <c r="Z32" s="1354" t="str">
        <f t="shared" si="15"/>
        <v>公共部分装修</v>
      </c>
      <c r="AA32" s="1351">
        <f t="shared" si="3"/>
        <v>1</v>
      </c>
      <c r="AB32" s="1351">
        <f t="shared" si="4"/>
        <v>1</v>
      </c>
      <c r="AC32" s="1351">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4"/>
      <c r="Q33" s="1350" t="str">
        <f t="shared" si="11"/>
        <v>成新度</v>
      </c>
      <c r="R33" s="703" t="s">
        <v>14</v>
      </c>
      <c r="S33" s="704" t="e">
        <f t="shared" si="12"/>
        <v>#N/A</v>
      </c>
      <c r="T33" s="703" t="s">
        <v>14</v>
      </c>
      <c r="U33" s="704" t="e">
        <f t="shared" si="13"/>
        <v>#N/A</v>
      </c>
      <c r="V33" s="703" t="s">
        <v>14</v>
      </c>
      <c r="W33" s="704" t="e">
        <f t="shared" si="14"/>
        <v>#N/A</v>
      </c>
      <c r="X33" s="1353"/>
      <c r="Y33" s="3704"/>
      <c r="Z33" s="1354" t="str">
        <f t="shared" si="15"/>
        <v>成新度</v>
      </c>
      <c r="AA33" s="1351" t="e">
        <f t="shared" si="3"/>
        <v>#N/A</v>
      </c>
      <c r="AB33" s="1351" t="e">
        <f t="shared" si="4"/>
        <v>#N/A</v>
      </c>
      <c r="AC33" s="1351"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4"/>
      <c r="Q34" s="1341"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4" t="s">
        <v>1693</v>
      </c>
      <c r="Q35" s="1350" t="str">
        <f t="shared" si="11"/>
        <v>市政基础设施</v>
      </c>
      <c r="R35" s="703" t="s">
        <v>14</v>
      </c>
      <c r="S35" s="704">
        <f t="shared" si="12"/>
        <v>100</v>
      </c>
      <c r="T35" s="703" t="s">
        <v>14</v>
      </c>
      <c r="U35" s="704">
        <f t="shared" si="13"/>
        <v>100</v>
      </c>
      <c r="V35" s="703" t="s">
        <v>14</v>
      </c>
      <c r="W35" s="704">
        <f t="shared" si="14"/>
        <v>100</v>
      </c>
      <c r="X35" s="1353"/>
      <c r="Y35" s="3704"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4"/>
      <c r="Q36" s="1350" t="str">
        <f t="shared" si="11"/>
        <v>内部装修</v>
      </c>
      <c r="R36" s="703" t="s">
        <v>14</v>
      </c>
      <c r="S36" s="704">
        <f t="shared" si="12"/>
        <v>100</v>
      </c>
      <c r="T36" s="703" t="s">
        <v>14</v>
      </c>
      <c r="U36" s="704">
        <f t="shared" si="13"/>
        <v>100</v>
      </c>
      <c r="V36" s="703" t="s">
        <v>14</v>
      </c>
      <c r="W36" s="704">
        <f t="shared" si="14"/>
        <v>100</v>
      </c>
      <c r="X36" s="1353"/>
      <c r="Y36" s="3704"/>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4"/>
      <c r="Q37" s="1350" t="str">
        <f t="shared" si="11"/>
        <v>内部装修状况</v>
      </c>
      <c r="R37" s="703" t="s">
        <v>14</v>
      </c>
      <c r="S37" s="704">
        <f t="shared" si="12"/>
        <v>100</v>
      </c>
      <c r="T37" s="703" t="s">
        <v>14</v>
      </c>
      <c r="U37" s="704">
        <f t="shared" si="13"/>
        <v>100</v>
      </c>
      <c r="V37" s="703" t="s">
        <v>14</v>
      </c>
      <c r="W37" s="704">
        <f t="shared" si="14"/>
        <v>100</v>
      </c>
      <c r="X37" s="1353"/>
      <c r="Y37" s="370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4"/>
      <c r="Q39" s="1350">
        <f t="shared" si="11"/>
        <v>111</v>
      </c>
      <c r="R39" s="703" t="s">
        <v>14</v>
      </c>
      <c r="S39" s="704">
        <f t="shared" si="12"/>
        <v>100</v>
      </c>
      <c r="T39" s="703" t="s">
        <v>14</v>
      </c>
      <c r="U39" s="704">
        <f t="shared" si="13"/>
        <v>100</v>
      </c>
      <c r="V39" s="703" t="s">
        <v>14</v>
      </c>
      <c r="W39" s="704">
        <f t="shared" si="14"/>
        <v>100</v>
      </c>
      <c r="X39" s="1353"/>
      <c r="Y39" s="370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5"/>
      <c r="Q40" s="1350">
        <f t="shared" si="11"/>
        <v>111</v>
      </c>
      <c r="R40" s="703" t="s">
        <v>14</v>
      </c>
      <c r="S40" s="704">
        <f t="shared" si="12"/>
        <v>100</v>
      </c>
      <c r="T40" s="703" t="s">
        <v>14</v>
      </c>
      <c r="U40" s="704">
        <f t="shared" si="13"/>
        <v>100</v>
      </c>
      <c r="V40" s="703" t="s">
        <v>14</v>
      </c>
      <c r="W40" s="704">
        <f t="shared" si="14"/>
        <v>100</v>
      </c>
      <c r="X40" s="1353"/>
      <c r="Y40" s="3705"/>
      <c r="Z40" s="1354">
        <f t="shared" si="15"/>
        <v>111</v>
      </c>
      <c r="AA40" s="1351">
        <f t="shared" si="3"/>
        <v>1</v>
      </c>
      <c r="AB40" s="1351">
        <f t="shared" si="4"/>
        <v>1</v>
      </c>
      <c r="AC40" s="1351">
        <f t="shared" si="5"/>
        <v>1</v>
      </c>
    </row>
    <row r="41" spans="1:29" ht="15">
      <c r="A41" s="430" t="s">
        <v>1705</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1790</v>
      </c>
      <c r="B42" s="438"/>
      <c r="C42" s="1158" t="e">
        <f>R43</f>
        <v>#DIV/0!</v>
      </c>
      <c r="D42" s="2315" t="s">
        <v>2133</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1791</v>
      </c>
      <c r="B43" s="442"/>
      <c r="C43" s="1161" t="e">
        <f>R43</f>
        <v>#DIV/0!</v>
      </c>
      <c r="D43" s="1161"/>
      <c r="E43" s="1161"/>
      <c r="F43" s="1161"/>
      <c r="G43" s="1161"/>
      <c r="H43" s="1161"/>
      <c r="I43" s="1161"/>
      <c r="J43" s="1161"/>
      <c r="K43" s="713"/>
      <c r="L43" s="924"/>
      <c r="M43" s="925"/>
      <c r="N43" s="925"/>
      <c r="O43" s="925"/>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2"/>
      <c r="Q51" s="453"/>
    </row>
    <row r="52" spans="1:17" s="457" customFormat="1" ht="15">
      <c r="A52" s="454" t="s">
        <v>1676</v>
      </c>
      <c r="B52" s="455"/>
      <c r="C52" s="1182" t="str">
        <f>YEAR(C7)&amp;"-"&amp;MONTH(C7)</f>
        <v>2023-4</v>
      </c>
      <c r="D52" s="1183">
        <f>EDATE(C52,-1)</f>
        <v>44986</v>
      </c>
      <c r="E52" s="1183">
        <f t="shared" ref="E52:O52" si="16">EDATE(D52,-1)</f>
        <v>44958</v>
      </c>
      <c r="F52" s="1183">
        <f t="shared" si="16"/>
        <v>44927</v>
      </c>
      <c r="G52" s="1183">
        <f t="shared" si="16"/>
        <v>44896</v>
      </c>
      <c r="H52" s="1183">
        <f t="shared" si="16"/>
        <v>44866</v>
      </c>
      <c r="I52" s="1183">
        <f t="shared" si="16"/>
        <v>44835</v>
      </c>
      <c r="J52" s="1183">
        <f t="shared" si="16"/>
        <v>44805</v>
      </c>
      <c r="K52" s="1183">
        <f t="shared" si="16"/>
        <v>44774</v>
      </c>
      <c r="L52" s="1183">
        <f t="shared" si="16"/>
        <v>44743</v>
      </c>
      <c r="M52" s="1183">
        <f t="shared" si="16"/>
        <v>44713</v>
      </c>
      <c r="N52" s="1183">
        <f t="shared" si="16"/>
        <v>44682</v>
      </c>
      <c r="O52" s="1183">
        <f t="shared" si="16"/>
        <v>44652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3"/>
      <c r="O54" s="2764"/>
      <c r="P54" s="453"/>
      <c r="Q54" s="453"/>
    </row>
    <row r="55" spans="1:17" s="108" customFormat="1" ht="15">
      <c r="A55" s="470" t="s">
        <v>1678</v>
      </c>
      <c r="B55" s="459"/>
      <c r="C55" s="471" t="s">
        <v>1773</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1716</v>
      </c>
      <c r="B57" s="477" t="s">
        <v>1682</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1685</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1691</v>
      </c>
      <c r="B88" s="477" t="s">
        <v>1733</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1735</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1737</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1738</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1739</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1741</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3333</v>
      </c>
      <c r="C1" s="1222" t="s">
        <v>1659</v>
      </c>
      <c r="D1" s="1223"/>
      <c r="E1" s="3428"/>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722" t="s">
        <v>1768</v>
      </c>
      <c r="S4" s="3723"/>
      <c r="T4" s="3722" t="s">
        <v>1769</v>
      </c>
      <c r="U4" s="3723"/>
      <c r="V4" s="3728" t="s">
        <v>1770</v>
      </c>
      <c r="W4" s="3728"/>
      <c r="X4" s="1353"/>
      <c r="Y4" s="3722" t="s">
        <v>1772</v>
      </c>
      <c r="Z4" s="3723"/>
      <c r="AA4" s="3709" t="s">
        <v>1768</v>
      </c>
      <c r="AB4" s="3710" t="s">
        <v>1769</v>
      </c>
      <c r="AC4" s="3709" t="s">
        <v>1770</v>
      </c>
    </row>
    <row r="5" spans="1:29" ht="15">
      <c r="A5" s="358"/>
      <c r="B5" s="359"/>
      <c r="C5" s="3731" t="s">
        <v>1670</v>
      </c>
      <c r="D5" s="3732"/>
      <c r="E5" s="3738" t="s">
        <v>1671</v>
      </c>
      <c r="F5" s="3739"/>
      <c r="G5" s="3731" t="s">
        <v>1672</v>
      </c>
      <c r="H5" s="3732"/>
      <c r="I5" s="3731" t="s">
        <v>1673</v>
      </c>
      <c r="J5" s="3732"/>
      <c r="K5" s="559"/>
      <c r="L5" s="2708"/>
      <c r="M5" s="2709"/>
      <c r="N5" s="2709"/>
      <c r="O5" s="2709"/>
      <c r="P5" s="3718"/>
      <c r="Q5" s="3719"/>
      <c r="R5" s="3724"/>
      <c r="S5" s="3725"/>
      <c r="T5" s="3724"/>
      <c r="U5" s="3725"/>
      <c r="V5" s="3728"/>
      <c r="W5" s="3728"/>
      <c r="X5" s="1353"/>
      <c r="Y5" s="3724"/>
      <c r="Z5" s="3725"/>
      <c r="AA5" s="3710"/>
      <c r="AB5" s="3710"/>
      <c r="AC5" s="3710"/>
    </row>
    <row r="6" spans="1:29" ht="15.75" thickBot="1">
      <c r="A6" s="360"/>
      <c r="B6" s="361"/>
      <c r="C6" s="3729" t="s">
        <v>1674</v>
      </c>
      <c r="D6" s="3730"/>
      <c r="E6" s="3736" t="s">
        <v>1674</v>
      </c>
      <c r="F6" s="3737"/>
      <c r="G6" s="3729" t="s">
        <v>1674</v>
      </c>
      <c r="H6" s="3730"/>
      <c r="I6" s="3729" t="s">
        <v>1674</v>
      </c>
      <c r="J6" s="3730"/>
      <c r="K6" s="559" t="s">
        <v>1675</v>
      </c>
      <c r="L6" s="2708"/>
      <c r="M6" s="2709"/>
      <c r="N6" s="2709"/>
      <c r="O6" s="2709"/>
      <c r="P6" s="3720"/>
      <c r="Q6" s="3721"/>
      <c r="R6" s="3724"/>
      <c r="S6" s="3725"/>
      <c r="T6" s="3726"/>
      <c r="U6" s="3727"/>
      <c r="V6" s="3728"/>
      <c r="W6" s="3728"/>
      <c r="X6" s="1353"/>
      <c r="Y6" s="3726"/>
      <c r="Z6" s="3727"/>
      <c r="AA6" s="3711"/>
      <c r="AB6" s="3711"/>
      <c r="AC6" s="3711"/>
    </row>
    <row r="7" spans="1:29" s="108" customFormat="1" ht="15.75" thickBot="1">
      <c r="A7" s="362" t="s">
        <v>1676</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33" t="s">
        <v>1677</v>
      </c>
      <c r="Q7" s="3735"/>
      <c r="R7" s="699" t="s">
        <v>14</v>
      </c>
      <c r="S7" s="700">
        <f t="shared" ref="S7:S14" si="0">F7</f>
        <v>0</v>
      </c>
      <c r="T7" s="699" t="s">
        <v>14</v>
      </c>
      <c r="U7" s="700">
        <f t="shared" ref="U7:U14" si="1">H7</f>
        <v>0</v>
      </c>
      <c r="V7" s="699" t="s">
        <v>14</v>
      </c>
      <c r="W7" s="700">
        <f t="shared" ref="W7:W14" si="2">J7</f>
        <v>0</v>
      </c>
      <c r="X7" s="701"/>
      <c r="Y7" s="3733" t="s">
        <v>1677</v>
      </c>
      <c r="Z7" s="3734"/>
      <c r="AA7" s="702" t="e">
        <f>D7/F7</f>
        <v>#DIV/0!</v>
      </c>
      <c r="AB7" s="702" t="e">
        <f>D7/H7</f>
        <v>#DIV/0!</v>
      </c>
      <c r="AC7" s="702"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33" t="s">
        <v>1680</v>
      </c>
      <c r="Q8" s="3734"/>
      <c r="R8" s="699" t="s">
        <v>14</v>
      </c>
      <c r="S8" s="700">
        <f t="shared" si="0"/>
        <v>100</v>
      </c>
      <c r="T8" s="699" t="s">
        <v>14</v>
      </c>
      <c r="U8" s="700">
        <f t="shared" si="1"/>
        <v>100</v>
      </c>
      <c r="V8" s="699" t="s">
        <v>14</v>
      </c>
      <c r="W8" s="700">
        <f t="shared" si="2"/>
        <v>100</v>
      </c>
      <c r="X8" s="701"/>
      <c r="Y8" s="3733" t="s">
        <v>1680</v>
      </c>
      <c r="Z8" s="3734"/>
      <c r="AA8" s="702">
        <f t="shared" ref="AA8:AA36" si="3">D8/F8</f>
        <v>1</v>
      </c>
      <c r="AB8" s="702">
        <f t="shared" ref="AB8:AB36" si="4">D8/H8</f>
        <v>1</v>
      </c>
      <c r="AC8" s="702">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97" t="s">
        <v>1683</v>
      </c>
      <c r="Q9" s="1341" t="str">
        <f t="shared" ref="Q9:Q14" si="6">B9</f>
        <v>用途</v>
      </c>
      <c r="R9" s="699" t="s">
        <v>14</v>
      </c>
      <c r="S9" s="700">
        <f t="shared" si="0"/>
        <v>100</v>
      </c>
      <c r="T9" s="699" t="s">
        <v>14</v>
      </c>
      <c r="U9" s="700">
        <f t="shared" si="1"/>
        <v>100</v>
      </c>
      <c r="V9" s="699" t="s">
        <v>14</v>
      </c>
      <c r="W9" s="700">
        <f t="shared" si="2"/>
        <v>100</v>
      </c>
      <c r="X9" s="701"/>
      <c r="Y9" s="3578" t="s">
        <v>1684</v>
      </c>
      <c r="Z9" s="52" t="str">
        <f t="shared" ref="Z9:Z14" si="7">Q9</f>
        <v>用途</v>
      </c>
      <c r="AA9" s="702">
        <f t="shared" si="3"/>
        <v>1</v>
      </c>
      <c r="AB9" s="702">
        <f t="shared" si="4"/>
        <v>1</v>
      </c>
      <c r="AC9" s="702">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697"/>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97"/>
      <c r="Q11" s="1341">
        <f t="shared" si="6"/>
        <v>111</v>
      </c>
      <c r="R11" s="699" t="s">
        <v>14</v>
      </c>
      <c r="S11" s="700">
        <f t="shared" si="0"/>
        <v>100</v>
      </c>
      <c r="T11" s="699" t="s">
        <v>14</v>
      </c>
      <c r="U11" s="700">
        <f t="shared" si="1"/>
        <v>100</v>
      </c>
      <c r="V11" s="699" t="s">
        <v>14</v>
      </c>
      <c r="W11" s="700">
        <f t="shared" si="2"/>
        <v>100</v>
      </c>
      <c r="X11" s="701"/>
      <c r="Y11" s="357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97"/>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97"/>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702">
        <f t="shared" si="5"/>
        <v>1</v>
      </c>
    </row>
    <row r="14" spans="1:29" ht="99.75">
      <c r="A14" s="355" t="s">
        <v>1687</v>
      </c>
      <c r="B14" s="577" t="s">
        <v>1830</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9" t="s">
        <v>1688</v>
      </c>
      <c r="Q14" s="1350" t="str">
        <f t="shared" si="6"/>
        <v>交通便捷度</v>
      </c>
      <c r="R14" s="703" t="s">
        <v>14</v>
      </c>
      <c r="S14" s="704">
        <f t="shared" si="0"/>
        <v>100</v>
      </c>
      <c r="T14" s="703" t="s">
        <v>14</v>
      </c>
      <c r="U14" s="704">
        <f t="shared" si="1"/>
        <v>100</v>
      </c>
      <c r="V14" s="703" t="s">
        <v>14</v>
      </c>
      <c r="W14" s="704">
        <f t="shared" si="2"/>
        <v>100</v>
      </c>
      <c r="X14" s="1353"/>
      <c r="Y14" s="3699" t="s">
        <v>1688</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00"/>
      <c r="Q15" s="1350"/>
      <c r="R15" s="703"/>
      <c r="S15" s="704"/>
      <c r="T15" s="703"/>
      <c r="U15" s="704"/>
      <c r="V15" s="703"/>
      <c r="W15" s="704"/>
      <c r="X15" s="1353"/>
      <c r="Y15" s="3700"/>
      <c r="Z15" s="1354"/>
      <c r="AA15" s="1351">
        <v>1</v>
      </c>
      <c r="AB15" s="1351">
        <v>1</v>
      </c>
      <c r="AC15" s="1351">
        <v>1</v>
      </c>
    </row>
    <row r="16" spans="1:29" ht="85.5">
      <c r="A16" s="358"/>
      <c r="B16" s="579" t="s">
        <v>1809</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00"/>
      <c r="Q17" s="1350"/>
      <c r="R17" s="703"/>
      <c r="S17" s="704"/>
      <c r="T17" s="703"/>
      <c r="U17" s="704"/>
      <c r="V17" s="703"/>
      <c r="W17" s="704"/>
      <c r="X17" s="1353"/>
      <c r="Y17" s="3700"/>
      <c r="Z17" s="1354"/>
      <c r="AA17" s="1351">
        <v>1</v>
      </c>
      <c r="AB17" s="1351">
        <v>1</v>
      </c>
      <c r="AC17" s="1351">
        <v>1</v>
      </c>
    </row>
    <row r="18" spans="1:29" ht="42.75">
      <c r="A18" s="358"/>
      <c r="B18" s="581" t="s">
        <v>1810</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00"/>
      <c r="Q19" s="1350"/>
      <c r="R19" s="703"/>
      <c r="S19" s="704"/>
      <c r="T19" s="703"/>
      <c r="U19" s="704"/>
      <c r="V19" s="703"/>
      <c r="W19" s="704"/>
      <c r="X19" s="1353"/>
      <c r="Y19" s="3700"/>
      <c r="Z19" s="1354"/>
      <c r="AA19" s="1351">
        <v>1</v>
      </c>
      <c r="AB19" s="1351">
        <v>1</v>
      </c>
      <c r="AC19" s="1351">
        <v>1</v>
      </c>
    </row>
    <row r="20" spans="1:29" ht="99.75">
      <c r="A20" s="358"/>
      <c r="B20" s="579"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00"/>
      <c r="Q21" s="1350"/>
      <c r="R21" s="703"/>
      <c r="S21" s="704"/>
      <c r="T21" s="703"/>
      <c r="U21" s="704"/>
      <c r="V21" s="703"/>
      <c r="W21" s="704"/>
      <c r="X21" s="1353"/>
      <c r="Y21" s="3700"/>
      <c r="Z21" s="1354"/>
      <c r="AA21" s="1351">
        <v>1</v>
      </c>
      <c r="AB21" s="1351">
        <v>1</v>
      </c>
      <c r="AC21" s="1351">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00"/>
      <c r="Q24" s="1350">
        <f t="shared" ref="Q24:Q36"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600" t="s">
        <v>1691</v>
      </c>
      <c r="B26" s="62" t="s">
        <v>1833</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56" t="s">
        <v>1693</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4" t="s">
        <v>1693</v>
      </c>
      <c r="Z26" s="1354" t="str">
        <f t="shared" ref="Z26:Z36" si="15">Q26</f>
        <v>配套类型</v>
      </c>
      <c r="AA26" s="1351" t="e">
        <f t="shared" si="3"/>
        <v>#DIV/0!</v>
      </c>
      <c r="AB26" s="1351" t="e">
        <f t="shared" si="4"/>
        <v>#DIV/0!</v>
      </c>
      <c r="AC26" s="1351"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51">
        <f t="shared" si="3"/>
        <v>1</v>
      </c>
      <c r="AB27" s="1351">
        <f t="shared" si="4"/>
        <v>1</v>
      </c>
      <c r="AC27" s="1351">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4"/>
      <c r="Q28" s="1350" t="str">
        <f t="shared" si="11"/>
        <v>公共部分装修</v>
      </c>
      <c r="R28" s="703" t="s">
        <v>14</v>
      </c>
      <c r="S28" s="704">
        <f t="shared" si="12"/>
        <v>100</v>
      </c>
      <c r="T28" s="703" t="s">
        <v>14</v>
      </c>
      <c r="U28" s="704">
        <f t="shared" si="13"/>
        <v>100</v>
      </c>
      <c r="V28" s="703" t="s">
        <v>14</v>
      </c>
      <c r="W28" s="704">
        <f t="shared" si="14"/>
        <v>100</v>
      </c>
      <c r="X28" s="1353"/>
      <c r="Y28" s="3704"/>
      <c r="Z28" s="1354" t="str">
        <f t="shared" si="15"/>
        <v>公共部分装修</v>
      </c>
      <c r="AA28" s="1351">
        <f t="shared" si="3"/>
        <v>1</v>
      </c>
      <c r="AB28" s="1351">
        <f t="shared" si="4"/>
        <v>1</v>
      </c>
      <c r="AC28" s="1351">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4"/>
      <c r="Q29" s="1350" t="str">
        <f t="shared" si="11"/>
        <v>成新率</v>
      </c>
      <c r="R29" s="703" t="s">
        <v>14</v>
      </c>
      <c r="S29" s="704" t="e">
        <f t="shared" si="12"/>
        <v>#N/A</v>
      </c>
      <c r="T29" s="703" t="s">
        <v>14</v>
      </c>
      <c r="U29" s="704" t="e">
        <f t="shared" si="13"/>
        <v>#N/A</v>
      </c>
      <c r="V29" s="703" t="s">
        <v>14</v>
      </c>
      <c r="W29" s="704" t="e">
        <f t="shared" si="14"/>
        <v>#N/A</v>
      </c>
      <c r="X29" s="1353"/>
      <c r="Y29" s="3704"/>
      <c r="Z29" s="1354" t="str">
        <f t="shared" si="15"/>
        <v>成新率</v>
      </c>
      <c r="AA29" s="1351" t="e">
        <f t="shared" si="3"/>
        <v>#N/A</v>
      </c>
      <c r="AB29" s="1351" t="e">
        <f t="shared" si="4"/>
        <v>#N/A</v>
      </c>
      <c r="AC29" s="1351"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4"/>
      <c r="Q30" s="1350" t="str">
        <f t="shared" si="11"/>
        <v>物业等级</v>
      </c>
      <c r="R30" s="703" t="s">
        <v>14</v>
      </c>
      <c r="S30" s="704">
        <f t="shared" si="12"/>
        <v>100</v>
      </c>
      <c r="T30" s="703" t="s">
        <v>14</v>
      </c>
      <c r="U30" s="704">
        <f t="shared" si="13"/>
        <v>100</v>
      </c>
      <c r="V30" s="703" t="s">
        <v>14</v>
      </c>
      <c r="W30" s="704">
        <f t="shared" si="14"/>
        <v>100</v>
      </c>
      <c r="X30" s="1353"/>
      <c r="Y30" s="3704"/>
      <c r="Z30" s="1354" t="str">
        <f t="shared" si="15"/>
        <v>物业等级</v>
      </c>
      <c r="AA30" s="1351">
        <f t="shared" si="3"/>
        <v>1</v>
      </c>
      <c r="AB30" s="1351">
        <f t="shared" si="4"/>
        <v>1</v>
      </c>
      <c r="AC30" s="1351">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4"/>
      <c r="Q31" s="1341"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4" t="s">
        <v>1693</v>
      </c>
      <c r="Q32" s="1350" t="str">
        <f t="shared" si="11"/>
        <v>车位类型</v>
      </c>
      <c r="R32" s="703" t="s">
        <v>14</v>
      </c>
      <c r="S32" s="704">
        <f t="shared" si="12"/>
        <v>100</v>
      </c>
      <c r="T32" s="703" t="s">
        <v>14</v>
      </c>
      <c r="U32" s="704">
        <f t="shared" si="13"/>
        <v>100</v>
      </c>
      <c r="V32" s="703" t="s">
        <v>14</v>
      </c>
      <c r="W32" s="704">
        <f t="shared" si="14"/>
        <v>100</v>
      </c>
      <c r="X32" s="1353"/>
      <c r="Y32" s="3704" t="s">
        <v>1693</v>
      </c>
      <c r="Z32" s="1354" t="str">
        <f t="shared" si="15"/>
        <v>车位类型</v>
      </c>
      <c r="AA32" s="1351">
        <f t="shared" si="3"/>
        <v>1</v>
      </c>
      <c r="AB32" s="1351">
        <f t="shared" si="4"/>
        <v>1</v>
      </c>
      <c r="AC32" s="1351">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4"/>
      <c r="Q33" s="1350" t="str">
        <f t="shared" si="11"/>
        <v>是否直接入户</v>
      </c>
      <c r="R33" s="703" t="s">
        <v>14</v>
      </c>
      <c r="S33" s="704">
        <f t="shared" si="12"/>
        <v>100</v>
      </c>
      <c r="T33" s="703" t="s">
        <v>14</v>
      </c>
      <c r="U33" s="704">
        <f t="shared" si="13"/>
        <v>100</v>
      </c>
      <c r="V33" s="703" t="s">
        <v>14</v>
      </c>
      <c r="W33" s="704">
        <f t="shared" si="14"/>
        <v>100</v>
      </c>
      <c r="X33" s="1353"/>
      <c r="Y33" s="370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4"/>
      <c r="Q36" s="1350">
        <f t="shared" si="11"/>
        <v>111</v>
      </c>
      <c r="R36" s="703" t="s">
        <v>14</v>
      </c>
      <c r="S36" s="704">
        <f t="shared" si="12"/>
        <v>100</v>
      </c>
      <c r="T36" s="703" t="s">
        <v>14</v>
      </c>
      <c r="U36" s="704">
        <f t="shared" si="13"/>
        <v>100</v>
      </c>
      <c r="V36" s="703" t="s">
        <v>14</v>
      </c>
      <c r="W36" s="704">
        <f t="shared" si="14"/>
        <v>100</v>
      </c>
      <c r="X36" s="1353"/>
      <c r="Y36" s="3704"/>
      <c r="Z36" s="1354">
        <f t="shared" si="15"/>
        <v>111</v>
      </c>
      <c r="AA36" s="1351">
        <f t="shared" si="3"/>
        <v>1</v>
      </c>
      <c r="AB36" s="1351">
        <f t="shared" si="4"/>
        <v>1</v>
      </c>
      <c r="AC36" s="1351">
        <f t="shared" si="5"/>
        <v>1</v>
      </c>
    </row>
    <row r="37" spans="1:29" ht="15">
      <c r="A37" s="430" t="s">
        <v>1841</v>
      </c>
      <c r="B37" s="1971" t="s">
        <v>3354</v>
      </c>
      <c r="C37" s="1152" t="s">
        <v>0</v>
      </c>
      <c r="D37" s="1153"/>
      <c r="E37" s="1154"/>
      <c r="F37" s="1155"/>
      <c r="G37" s="1156"/>
      <c r="H37" s="1157"/>
      <c r="I37" s="1154"/>
      <c r="J37" s="1157"/>
      <c r="K37" s="568"/>
      <c r="L37" s="2717"/>
      <c r="M37" s="2718"/>
      <c r="N37" s="2709"/>
      <c r="O37" s="2718"/>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1842</v>
      </c>
      <c r="B38" s="438" t="str">
        <f>B37</f>
        <v>元/平方米</v>
      </c>
      <c r="C38" s="1158" t="e">
        <f>R39</f>
        <v>#DIV/0!</v>
      </c>
      <c r="D38" s="2315" t="s">
        <v>2133</v>
      </c>
      <c r="E38" s="1159" t="e">
        <f>R38</f>
        <v>#DIV/0!</v>
      </c>
      <c r="F38" s="2316"/>
      <c r="G38" s="1158" t="e">
        <f>T38</f>
        <v>#DIV/0!</v>
      </c>
      <c r="H38" s="2316"/>
      <c r="I38" s="1159" t="e">
        <f>V38</f>
        <v>#DIV/0!</v>
      </c>
      <c r="J38" s="2316"/>
      <c r="K38" s="2318">
        <f>F38+H38+J38</f>
        <v>0</v>
      </c>
      <c r="L38" s="2717"/>
      <c r="M38" s="2718"/>
      <c r="N38" s="2718"/>
      <c r="O38" s="2718"/>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1843</v>
      </c>
      <c r="B39" s="442"/>
      <c r="C39" s="1161" t="e">
        <f>R39</f>
        <v>#DIV/0!</v>
      </c>
      <c r="D39" s="1161"/>
      <c r="E39" s="1161"/>
      <c r="F39" s="1161"/>
      <c r="G39" s="1161"/>
      <c r="H39" s="1161"/>
      <c r="I39" s="1161"/>
      <c r="J39" s="1161"/>
      <c r="K39" s="569"/>
      <c r="L39" s="2717"/>
      <c r="M39" s="2718"/>
      <c r="N39" s="2718"/>
      <c r="O39" s="2718"/>
      <c r="P39" s="3694" t="str">
        <f>A39</f>
        <v>估价对象XX用房的比较价值（楼面单价，元/平方米）</v>
      </c>
      <c r="Q39" s="3695"/>
      <c r="R39" s="3757" t="e">
        <f>IF(F1="售价",ROUND(IF(D38="简单平均",AVERAGE(R38:W38),R38*F38+T38*H38+V38*J38),0),ROUND(IF(D38="简单平均",AVERAGE(R38:V38),R38*F38+T38*H38+V38*J38),1))</f>
        <v>#DIV/0!</v>
      </c>
      <c r="S39" s="3757"/>
      <c r="T39" s="3757"/>
      <c r="U39" s="3757"/>
      <c r="V39" s="3757"/>
      <c r="W39" s="3757"/>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1847</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1848</v>
      </c>
      <c r="B48" s="455"/>
      <c r="C48" s="1182" t="str">
        <f>YEAR(C7)&amp;"-"&amp;MONTH(C7)</f>
        <v>2023-4</v>
      </c>
      <c r="D48" s="1183">
        <f>EDATE(C48,-1)</f>
        <v>44986</v>
      </c>
      <c r="E48" s="1183">
        <f t="shared" ref="E48:O48" si="16">EDATE(D48,-1)</f>
        <v>44958</v>
      </c>
      <c r="F48" s="1183">
        <f t="shared" si="16"/>
        <v>44927</v>
      </c>
      <c r="G48" s="1183">
        <f t="shared" si="16"/>
        <v>44896</v>
      </c>
      <c r="H48" s="1183">
        <f t="shared" si="16"/>
        <v>44866</v>
      </c>
      <c r="I48" s="1183">
        <f t="shared" si="16"/>
        <v>44835</v>
      </c>
      <c r="J48" s="1183">
        <f t="shared" si="16"/>
        <v>44805</v>
      </c>
      <c r="K48" s="1183">
        <f t="shared" si="16"/>
        <v>44774</v>
      </c>
      <c r="L48" s="1183">
        <f t="shared" si="16"/>
        <v>44743</v>
      </c>
      <c r="M48" s="1183">
        <f t="shared" si="16"/>
        <v>44713</v>
      </c>
      <c r="N48" s="1183">
        <f t="shared" si="16"/>
        <v>44682</v>
      </c>
      <c r="O48" s="1183">
        <f t="shared" si="16"/>
        <v>44652</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1713</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1678</v>
      </c>
      <c r="B51" s="459"/>
      <c r="C51" s="471" t="s">
        <v>1773</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1716</v>
      </c>
      <c r="B53" s="477" t="s">
        <v>1682</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1685</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1724</v>
      </c>
      <c r="C65" s="527" t="s">
        <v>1718</v>
      </c>
      <c r="D65" s="527" t="s">
        <v>1719</v>
      </c>
      <c r="E65" s="527" t="s">
        <v>1720</v>
      </c>
      <c r="F65" s="527" t="s">
        <v>1721</v>
      </c>
      <c r="G65" s="527" t="s">
        <v>1722</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1810</v>
      </c>
      <c r="C67" s="608" t="s">
        <v>1796</v>
      </c>
      <c r="D67" s="608" t="s">
        <v>1797</v>
      </c>
      <c r="E67" s="608" t="s">
        <v>1798</v>
      </c>
      <c r="F67" s="608" t="s">
        <v>1799</v>
      </c>
      <c r="G67" s="608" t="s">
        <v>1800</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1730</v>
      </c>
      <c r="C69" s="527" t="s">
        <v>1718</v>
      </c>
      <c r="D69" s="527" t="s">
        <v>1719</v>
      </c>
      <c r="E69" s="527" t="s">
        <v>1720</v>
      </c>
      <c r="F69" s="527" t="s">
        <v>1721</v>
      </c>
      <c r="G69" s="527" t="s">
        <v>1722</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1849</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1691</v>
      </c>
      <c r="B79" s="477" t="s">
        <v>1850</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1851</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1737</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1853</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1855</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1856</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估价对象为北京市朝阳区朝阳门外大街18号房地产，为银鼎投资（北京）有限公司所有。根据《国有土地使用证》[]，估价对象（分摊）出让国有建设用地使用权面积为396.01平方米，建筑面积为3455.7平方米。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银鼎投资（北京）有限公司开发建设的办公项目，该项目尚在开发建设中。根据《国有土地使用证》[]，估价对象（分摊）出让国有建设用地使用权面积为396.01平方米，规划建筑面积为3455.7平方米。</v>
      </c>
    </row>
    <row r="11" spans="1:1" ht="76.5">
      <c r="A11" s="1481" t="s">
        <v>903</v>
      </c>
    </row>
    <row r="12" spans="1:1" ht="18.75">
      <c r="A12" s="1479" t="s">
        <v>904</v>
      </c>
    </row>
    <row r="13" spans="1:1" ht="38.25" customHeight="1">
      <c r="A13" s="1482" t="str">
        <f>IF(项目基本情况!B8="抵押",IF(项目基本情况!B5=项目基本情况!B6,定义!C51,定义!B51),定义!D51)</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2023年4月21日（评估专业人员实地查勘之日）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3334</v>
      </c>
      <c r="C1" s="1222" t="s">
        <v>1659</v>
      </c>
      <c r="D1" s="1223"/>
      <c r="E1" s="3428"/>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722" t="s">
        <v>1768</v>
      </c>
      <c r="S4" s="3723"/>
      <c r="T4" s="3722" t="s">
        <v>1769</v>
      </c>
      <c r="U4" s="3723"/>
      <c r="V4" s="3728" t="s">
        <v>1770</v>
      </c>
      <c r="W4" s="3728"/>
      <c r="X4" s="1353"/>
      <c r="Y4" s="3722" t="s">
        <v>1772</v>
      </c>
      <c r="Z4" s="3723"/>
      <c r="AA4" s="3709" t="s">
        <v>1768</v>
      </c>
      <c r="AB4" s="3710" t="s">
        <v>1769</v>
      </c>
      <c r="AC4" s="3709" t="s">
        <v>1770</v>
      </c>
    </row>
    <row r="5" spans="1:29" ht="15">
      <c r="A5" s="358"/>
      <c r="B5" s="359"/>
      <c r="C5" s="3731" t="s">
        <v>1670</v>
      </c>
      <c r="D5" s="3732"/>
      <c r="E5" s="3738" t="s">
        <v>1671</v>
      </c>
      <c r="F5" s="3739"/>
      <c r="G5" s="3731" t="s">
        <v>1672</v>
      </c>
      <c r="H5" s="3732"/>
      <c r="I5" s="3731" t="s">
        <v>1673</v>
      </c>
      <c r="J5" s="3732"/>
      <c r="K5" s="559"/>
      <c r="L5" s="2708"/>
      <c r="M5" s="2709"/>
      <c r="N5" s="2709"/>
      <c r="O5" s="2709"/>
      <c r="P5" s="3718"/>
      <c r="Q5" s="3719"/>
      <c r="R5" s="3724"/>
      <c r="S5" s="3725"/>
      <c r="T5" s="3724"/>
      <c r="U5" s="3725"/>
      <c r="V5" s="3728"/>
      <c r="W5" s="3728"/>
      <c r="X5" s="1353"/>
      <c r="Y5" s="3724"/>
      <c r="Z5" s="3725"/>
      <c r="AA5" s="3710"/>
      <c r="AB5" s="3710"/>
      <c r="AC5" s="3710"/>
    </row>
    <row r="6" spans="1:29" ht="15.75" thickBot="1">
      <c r="A6" s="360"/>
      <c r="B6" s="361"/>
      <c r="C6" s="3729" t="s">
        <v>1674</v>
      </c>
      <c r="D6" s="3730"/>
      <c r="E6" s="3736" t="s">
        <v>1674</v>
      </c>
      <c r="F6" s="3737"/>
      <c r="G6" s="3729" t="s">
        <v>1674</v>
      </c>
      <c r="H6" s="3730"/>
      <c r="I6" s="3729" t="s">
        <v>1674</v>
      </c>
      <c r="J6" s="3730"/>
      <c r="K6" s="559" t="s">
        <v>1675</v>
      </c>
      <c r="L6" s="2708"/>
      <c r="M6" s="2709"/>
      <c r="N6" s="2709"/>
      <c r="O6" s="2709"/>
      <c r="P6" s="3720"/>
      <c r="Q6" s="3721"/>
      <c r="R6" s="3724"/>
      <c r="S6" s="3725"/>
      <c r="T6" s="3726"/>
      <c r="U6" s="3727"/>
      <c r="V6" s="3728"/>
      <c r="W6" s="3728"/>
      <c r="X6" s="1353"/>
      <c r="Y6" s="3726"/>
      <c r="Z6" s="3727"/>
      <c r="AA6" s="3711"/>
      <c r="AB6" s="3711"/>
      <c r="AC6" s="3711"/>
    </row>
    <row r="7" spans="1:29" s="108" customFormat="1" ht="15.75" thickBot="1">
      <c r="A7" s="362" t="s">
        <v>1676</v>
      </c>
      <c r="B7" s="363"/>
      <c r="C7" s="364">
        <f>'数据-取费表'!B2</f>
        <v>45037</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33" t="s">
        <v>1677</v>
      </c>
      <c r="Q7" s="3735"/>
      <c r="R7" s="699" t="s">
        <v>14</v>
      </c>
      <c r="S7" s="700">
        <f t="shared" ref="S7:S14" si="0">F7</f>
        <v>0</v>
      </c>
      <c r="T7" s="699" t="s">
        <v>14</v>
      </c>
      <c r="U7" s="700">
        <f t="shared" ref="U7:U14" si="1">H7</f>
        <v>0</v>
      </c>
      <c r="V7" s="699" t="s">
        <v>14</v>
      </c>
      <c r="W7" s="700">
        <f t="shared" ref="W7:W14" si="2">J7</f>
        <v>0</v>
      </c>
      <c r="X7" s="701"/>
      <c r="Y7" s="3733" t="s">
        <v>1677</v>
      </c>
      <c r="Z7" s="3734"/>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33" t="s">
        <v>1680</v>
      </c>
      <c r="Q8" s="3734"/>
      <c r="R8" s="699" t="s">
        <v>14</v>
      </c>
      <c r="S8" s="700">
        <f t="shared" si="0"/>
        <v>100</v>
      </c>
      <c r="T8" s="699" t="s">
        <v>14</v>
      </c>
      <c r="U8" s="700">
        <f t="shared" si="1"/>
        <v>100</v>
      </c>
      <c r="V8" s="699" t="s">
        <v>14</v>
      </c>
      <c r="W8" s="700">
        <f t="shared" si="2"/>
        <v>100</v>
      </c>
      <c r="X8" s="701"/>
      <c r="Y8" s="3733" t="s">
        <v>1680</v>
      </c>
      <c r="Z8" s="3734"/>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97" t="s">
        <v>1683</v>
      </c>
      <c r="Q9" s="1341" t="str">
        <f t="shared" ref="Q9:Q14" si="6">B9</f>
        <v>用途</v>
      </c>
      <c r="R9" s="699" t="s">
        <v>14</v>
      </c>
      <c r="S9" s="700">
        <f t="shared" si="0"/>
        <v>100</v>
      </c>
      <c r="T9" s="699" t="s">
        <v>14</v>
      </c>
      <c r="U9" s="700">
        <f t="shared" si="1"/>
        <v>100</v>
      </c>
      <c r="V9" s="699" t="s">
        <v>14</v>
      </c>
      <c r="W9" s="700">
        <f t="shared" si="2"/>
        <v>100</v>
      </c>
      <c r="X9" s="701"/>
      <c r="Y9" s="3578" t="s">
        <v>1684</v>
      </c>
      <c r="Z9" s="52" t="str">
        <f t="shared" ref="Z9:Z14" si="7">Q9</f>
        <v>用途</v>
      </c>
      <c r="AA9" s="702">
        <f t="shared" si="3"/>
        <v>1</v>
      </c>
      <c r="AB9" s="702">
        <f t="shared" si="4"/>
        <v>1</v>
      </c>
      <c r="AC9" s="702">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697"/>
      <c r="Q10" s="1341" t="str">
        <f t="shared" si="6"/>
        <v>土地使用年限（年）</v>
      </c>
      <c r="R10" s="699" t="s">
        <v>14</v>
      </c>
      <c r="S10" s="700">
        <f t="shared" si="0"/>
        <v>100</v>
      </c>
      <c r="T10" s="699" t="s">
        <v>14</v>
      </c>
      <c r="U10" s="700">
        <f t="shared" si="1"/>
        <v>100</v>
      </c>
      <c r="V10" s="699" t="s">
        <v>14</v>
      </c>
      <c r="W10" s="700">
        <f t="shared" si="2"/>
        <v>100</v>
      </c>
      <c r="X10" s="701"/>
      <c r="Y10" s="357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97"/>
      <c r="Q11" s="1341">
        <f t="shared" si="6"/>
        <v>111</v>
      </c>
      <c r="R11" s="699" t="s">
        <v>14</v>
      </c>
      <c r="S11" s="700">
        <f t="shared" si="0"/>
        <v>100</v>
      </c>
      <c r="T11" s="699" t="s">
        <v>14</v>
      </c>
      <c r="U11" s="700">
        <f t="shared" si="1"/>
        <v>100</v>
      </c>
      <c r="V11" s="699" t="s">
        <v>14</v>
      </c>
      <c r="W11" s="700">
        <f t="shared" si="2"/>
        <v>100</v>
      </c>
      <c r="X11" s="701"/>
      <c r="Y11" s="357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97"/>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697"/>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702">
        <f t="shared" si="5"/>
        <v>1</v>
      </c>
    </row>
    <row r="14" spans="1:29" ht="99.75">
      <c r="A14" s="391" t="s">
        <v>1687</v>
      </c>
      <c r="B14" s="61" t="s">
        <v>1830</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9" t="s">
        <v>1688</v>
      </c>
      <c r="Q14" s="1350" t="str">
        <f t="shared" si="6"/>
        <v>交通便捷度</v>
      </c>
      <c r="R14" s="703" t="s">
        <v>14</v>
      </c>
      <c r="S14" s="704">
        <f t="shared" si="0"/>
        <v>100</v>
      </c>
      <c r="T14" s="703" t="s">
        <v>14</v>
      </c>
      <c r="U14" s="704">
        <f t="shared" si="1"/>
        <v>100</v>
      </c>
      <c r="V14" s="703" t="s">
        <v>14</v>
      </c>
      <c r="W14" s="704">
        <f t="shared" si="2"/>
        <v>100</v>
      </c>
      <c r="X14" s="1353"/>
      <c r="Y14" s="3699"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00"/>
      <c r="Q15" s="1350"/>
      <c r="R15" s="703"/>
      <c r="S15" s="704"/>
      <c r="T15" s="703"/>
      <c r="U15" s="704"/>
      <c r="V15" s="703"/>
      <c r="W15" s="704"/>
      <c r="X15" s="1353"/>
      <c r="Y15" s="3700"/>
      <c r="Z15" s="1354"/>
      <c r="AA15" s="1351">
        <v>1</v>
      </c>
      <c r="AB15" s="1351">
        <v>1</v>
      </c>
      <c r="AC15" s="1351">
        <v>1</v>
      </c>
    </row>
    <row r="16" spans="1:29" ht="85.5">
      <c r="A16" s="379"/>
      <c r="B16" s="402" t="s">
        <v>1809</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00"/>
      <c r="Q16" s="1350" t="str">
        <f>B16</f>
        <v>公共配套设施</v>
      </c>
      <c r="R16" s="703" t="s">
        <v>14</v>
      </c>
      <c r="S16" s="704">
        <f>F16</f>
        <v>100</v>
      </c>
      <c r="T16" s="703" t="s">
        <v>14</v>
      </c>
      <c r="U16" s="704">
        <f>H16</f>
        <v>100</v>
      </c>
      <c r="V16" s="703" t="s">
        <v>14</v>
      </c>
      <c r="W16" s="704">
        <f>J16</f>
        <v>100</v>
      </c>
      <c r="X16" s="1353"/>
      <c r="Y16" s="370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00"/>
      <c r="Q17" s="1350"/>
      <c r="R17" s="703"/>
      <c r="S17" s="704"/>
      <c r="T17" s="703"/>
      <c r="U17" s="704"/>
      <c r="V17" s="703"/>
      <c r="W17" s="704"/>
      <c r="X17" s="1353"/>
      <c r="Y17" s="3700"/>
      <c r="Z17" s="1354"/>
      <c r="AA17" s="1351">
        <v>1</v>
      </c>
      <c r="AB17" s="1351">
        <v>1</v>
      </c>
      <c r="AC17" s="1351">
        <v>1</v>
      </c>
    </row>
    <row r="18" spans="1:29" ht="42.75">
      <c r="A18" s="379"/>
      <c r="B18" s="1129" t="s">
        <v>1810</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00"/>
      <c r="Q18" s="1350" t="str">
        <f>B18</f>
        <v>基础设施水平</v>
      </c>
      <c r="R18" s="703" t="s">
        <v>14</v>
      </c>
      <c r="S18" s="704">
        <f>F18</f>
        <v>100</v>
      </c>
      <c r="T18" s="703" t="s">
        <v>14</v>
      </c>
      <c r="U18" s="704">
        <f>H18</f>
        <v>100</v>
      </c>
      <c r="V18" s="703" t="s">
        <v>14</v>
      </c>
      <c r="W18" s="704">
        <f>J18</f>
        <v>100</v>
      </c>
      <c r="X18" s="1353"/>
      <c r="Y18" s="370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00"/>
      <c r="Q19" s="1350"/>
      <c r="R19" s="703"/>
      <c r="S19" s="704"/>
      <c r="T19" s="703"/>
      <c r="U19" s="704"/>
      <c r="V19" s="703"/>
      <c r="W19" s="704"/>
      <c r="X19" s="1353"/>
      <c r="Y19" s="3700"/>
      <c r="Z19" s="1354"/>
      <c r="AA19" s="1351">
        <v>1</v>
      </c>
      <c r="AB19" s="1351">
        <v>1</v>
      </c>
      <c r="AC19" s="1351">
        <v>1</v>
      </c>
    </row>
    <row r="20" spans="1:29" ht="99.75">
      <c r="A20" s="379"/>
      <c r="B20" s="402"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00"/>
      <c r="Q20" s="1350" t="str">
        <f>B20</f>
        <v>自然及人文环境</v>
      </c>
      <c r="R20" s="703" t="s">
        <v>14</v>
      </c>
      <c r="S20" s="704">
        <f>F20</f>
        <v>100</v>
      </c>
      <c r="T20" s="703" t="s">
        <v>14</v>
      </c>
      <c r="U20" s="704">
        <f>H20</f>
        <v>100</v>
      </c>
      <c r="V20" s="703" t="s">
        <v>14</v>
      </c>
      <c r="W20" s="704">
        <f>J20</f>
        <v>100</v>
      </c>
      <c r="X20" s="1353"/>
      <c r="Y20" s="370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00"/>
      <c r="Q21" s="1350"/>
      <c r="R21" s="703"/>
      <c r="S21" s="704"/>
      <c r="T21" s="703"/>
      <c r="U21" s="704"/>
      <c r="V21" s="703"/>
      <c r="W21" s="704"/>
      <c r="X21" s="1353"/>
      <c r="Y21" s="3700"/>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00"/>
      <c r="Q22" s="1350" t="str">
        <f>B22</f>
        <v>楼层</v>
      </c>
      <c r="R22" s="703" t="s">
        <v>14</v>
      </c>
      <c r="S22" s="704">
        <f>F22</f>
        <v>100</v>
      </c>
      <c r="T22" s="703" t="s">
        <v>14</v>
      </c>
      <c r="U22" s="704">
        <f>H22</f>
        <v>100</v>
      </c>
      <c r="V22" s="703" t="s">
        <v>14</v>
      </c>
      <c r="W22" s="704">
        <f>J22</f>
        <v>100</v>
      </c>
      <c r="X22" s="1353"/>
      <c r="Y22" s="370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00"/>
      <c r="Q23" s="1350">
        <f>B23</f>
        <v>111</v>
      </c>
      <c r="R23" s="703" t="s">
        <v>14</v>
      </c>
      <c r="S23" s="704">
        <f>F23</f>
        <v>100</v>
      </c>
      <c r="T23" s="703" t="s">
        <v>14</v>
      </c>
      <c r="U23" s="704">
        <f>H23</f>
        <v>100</v>
      </c>
      <c r="V23" s="703" t="s">
        <v>14</v>
      </c>
      <c r="W23" s="704">
        <f>J23</f>
        <v>100</v>
      </c>
      <c r="X23" s="1353"/>
      <c r="Y23" s="370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00"/>
      <c r="Q24" s="1350">
        <f t="shared" ref="Q24:Q34" si="11">B24</f>
        <v>111</v>
      </c>
      <c r="R24" s="703" t="s">
        <v>14</v>
      </c>
      <c r="S24" s="704">
        <f>F24</f>
        <v>100</v>
      </c>
      <c r="T24" s="703" t="s">
        <v>14</v>
      </c>
      <c r="U24" s="704">
        <f>H24</f>
        <v>100</v>
      </c>
      <c r="V24" s="703" t="s">
        <v>14</v>
      </c>
      <c r="W24" s="704">
        <f>J24</f>
        <v>100</v>
      </c>
      <c r="X24" s="1353"/>
      <c r="Y24" s="370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00"/>
      <c r="Q25" s="1341">
        <f t="shared" si="11"/>
        <v>111</v>
      </c>
      <c r="R25" s="699" t="s">
        <v>14</v>
      </c>
      <c r="S25" s="700">
        <f>F25</f>
        <v>100</v>
      </c>
      <c r="T25" s="699" t="s">
        <v>14</v>
      </c>
      <c r="U25" s="700">
        <f>H25</f>
        <v>100</v>
      </c>
      <c r="V25" s="699" t="s">
        <v>14</v>
      </c>
      <c r="W25" s="700">
        <f>J25</f>
        <v>100</v>
      </c>
      <c r="X25" s="701"/>
      <c r="Y25" s="3700"/>
      <c r="Z25" s="52">
        <f>Q25</f>
        <v>111</v>
      </c>
      <c r="AA25" s="1351">
        <f>D25/F25</f>
        <v>1</v>
      </c>
      <c r="AB25" s="1351">
        <f>D25/H25</f>
        <v>1</v>
      </c>
      <c r="AC25" s="1351">
        <f>D25/J25</f>
        <v>1</v>
      </c>
    </row>
    <row r="26" spans="1:29" ht="28.5">
      <c r="A26" s="417" t="s">
        <v>1691</v>
      </c>
      <c r="B26" s="63" t="s">
        <v>1835</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56" t="s">
        <v>1693</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4"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4"/>
      <c r="Q28" s="1350" t="str">
        <f t="shared" si="11"/>
        <v>物业等级</v>
      </c>
      <c r="R28" s="703" t="s">
        <v>14</v>
      </c>
      <c r="S28" s="704">
        <f t="shared" si="12"/>
        <v>100</v>
      </c>
      <c r="T28" s="703" t="s">
        <v>14</v>
      </c>
      <c r="U28" s="704">
        <f t="shared" si="13"/>
        <v>100</v>
      </c>
      <c r="V28" s="703" t="s">
        <v>14</v>
      </c>
      <c r="W28" s="704">
        <f t="shared" si="14"/>
        <v>100</v>
      </c>
      <c r="X28" s="1353"/>
      <c r="Y28" s="3704"/>
      <c r="Z28" s="1354" t="str">
        <f t="shared" si="15"/>
        <v>物业等级</v>
      </c>
      <c r="AA28" s="1351">
        <f t="shared" si="3"/>
        <v>1</v>
      </c>
      <c r="AB28" s="1351">
        <f t="shared" si="4"/>
        <v>1</v>
      </c>
      <c r="AC28" s="1351">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4"/>
      <c r="Q29" s="1350" t="str">
        <f t="shared" si="11"/>
        <v>有无电梯</v>
      </c>
      <c r="R29" s="703" t="s">
        <v>14</v>
      </c>
      <c r="S29" s="704">
        <f t="shared" si="12"/>
        <v>100</v>
      </c>
      <c r="T29" s="703" t="s">
        <v>14</v>
      </c>
      <c r="U29" s="704">
        <f t="shared" si="13"/>
        <v>100</v>
      </c>
      <c r="V29" s="703" t="s">
        <v>14</v>
      </c>
      <c r="W29" s="704">
        <f t="shared" si="14"/>
        <v>100</v>
      </c>
      <c r="X29" s="1353"/>
      <c r="Y29" s="3704"/>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4"/>
      <c r="Q30" s="1350" t="str">
        <f t="shared" si="11"/>
        <v>建筑面积</v>
      </c>
      <c r="R30" s="703" t="s">
        <v>14</v>
      </c>
      <c r="S30" s="704" t="e">
        <f t="shared" si="12"/>
        <v>#N/A</v>
      </c>
      <c r="T30" s="703" t="s">
        <v>14</v>
      </c>
      <c r="U30" s="704" t="e">
        <f t="shared" si="13"/>
        <v>#N/A</v>
      </c>
      <c r="V30" s="703" t="s">
        <v>14</v>
      </c>
      <c r="W30" s="704" t="e">
        <f t="shared" si="14"/>
        <v>#N/A</v>
      </c>
      <c r="X30" s="1353"/>
      <c r="Y30" s="3704"/>
      <c r="Z30" s="1354" t="str">
        <f t="shared" si="15"/>
        <v>建筑面积</v>
      </c>
      <c r="AA30" s="1351" t="e">
        <f t="shared" si="3"/>
        <v>#N/A</v>
      </c>
      <c r="AB30" s="1351" t="e">
        <f t="shared" si="4"/>
        <v>#N/A</v>
      </c>
      <c r="AC30" s="1351"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4"/>
      <c r="Q31" s="1341"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4" t="s">
        <v>1693</v>
      </c>
      <c r="Q32" s="1350">
        <f t="shared" si="11"/>
        <v>111</v>
      </c>
      <c r="R32" s="703" t="s">
        <v>14</v>
      </c>
      <c r="S32" s="704">
        <f t="shared" si="12"/>
        <v>100</v>
      </c>
      <c r="T32" s="703" t="s">
        <v>14</v>
      </c>
      <c r="U32" s="704">
        <f t="shared" si="13"/>
        <v>100</v>
      </c>
      <c r="V32" s="703" t="s">
        <v>14</v>
      </c>
      <c r="W32" s="704">
        <f t="shared" si="14"/>
        <v>100</v>
      </c>
      <c r="X32" s="1353"/>
      <c r="Y32" s="3704" t="s">
        <v>1693</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4"/>
      <c r="Q33" s="1350">
        <f t="shared" si="11"/>
        <v>111</v>
      </c>
      <c r="R33" s="703" t="s">
        <v>14</v>
      </c>
      <c r="S33" s="704">
        <f t="shared" si="12"/>
        <v>100</v>
      </c>
      <c r="T33" s="703" t="s">
        <v>14</v>
      </c>
      <c r="U33" s="704">
        <f t="shared" si="13"/>
        <v>100</v>
      </c>
      <c r="V33" s="703" t="s">
        <v>14</v>
      </c>
      <c r="W33" s="704">
        <f t="shared" si="14"/>
        <v>100</v>
      </c>
      <c r="X33" s="1353"/>
      <c r="Y33" s="370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04"/>
      <c r="Q34" s="1350">
        <f t="shared" si="11"/>
        <v>111</v>
      </c>
      <c r="R34" s="703" t="s">
        <v>14</v>
      </c>
      <c r="S34" s="704">
        <f t="shared" si="12"/>
        <v>100</v>
      </c>
      <c r="T34" s="703" t="s">
        <v>14</v>
      </c>
      <c r="U34" s="704">
        <f t="shared" si="13"/>
        <v>100</v>
      </c>
      <c r="V34" s="703" t="s">
        <v>14</v>
      </c>
      <c r="W34" s="704">
        <f t="shared" si="14"/>
        <v>100</v>
      </c>
      <c r="X34" s="1353"/>
      <c r="Y34" s="3704"/>
      <c r="Z34" s="1354">
        <f t="shared" si="15"/>
        <v>111</v>
      </c>
      <c r="AA34" s="1351">
        <f t="shared" si="3"/>
        <v>1</v>
      </c>
      <c r="AB34" s="1351">
        <f t="shared" si="4"/>
        <v>1</v>
      </c>
      <c r="AC34" s="1351">
        <f t="shared" si="5"/>
        <v>1</v>
      </c>
    </row>
    <row r="35" spans="1:30" ht="15">
      <c r="A35" s="430" t="s">
        <v>1705</v>
      </c>
      <c r="B35" s="431"/>
      <c r="C35" s="1152" t="s">
        <v>0</v>
      </c>
      <c r="D35" s="1153"/>
      <c r="E35" s="1154"/>
      <c r="F35" s="1155"/>
      <c r="G35" s="1156"/>
      <c r="H35" s="1157"/>
      <c r="I35" s="1154"/>
      <c r="J35" s="1157"/>
      <c r="K35" s="712"/>
      <c r="L35" s="2717"/>
      <c r="M35" s="2718"/>
      <c r="N35" s="2709"/>
      <c r="O35" s="2718"/>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1790</v>
      </c>
      <c r="B36" s="438"/>
      <c r="C36" s="1158" t="e">
        <f>R37</f>
        <v>#DIV/0!</v>
      </c>
      <c r="D36" s="2315" t="s">
        <v>2133</v>
      </c>
      <c r="E36" s="1159" t="e">
        <f>R36</f>
        <v>#DIV/0!</v>
      </c>
      <c r="F36" s="2316"/>
      <c r="G36" s="1158" t="e">
        <f>T36</f>
        <v>#DIV/0!</v>
      </c>
      <c r="H36" s="2316"/>
      <c r="I36" s="1159" t="e">
        <f>V36</f>
        <v>#DIV/0!</v>
      </c>
      <c r="J36" s="2316"/>
      <c r="K36" s="2318">
        <f>F36+H36+J36</f>
        <v>0</v>
      </c>
      <c r="L36" s="2717"/>
      <c r="M36" s="2718"/>
      <c r="N36" s="2709"/>
      <c r="O36" s="2718"/>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1791</v>
      </c>
      <c r="B37" s="442"/>
      <c r="C37" s="1161" t="e">
        <f>R37</f>
        <v>#DIV/0!</v>
      </c>
      <c r="D37" s="1161"/>
      <c r="E37" s="1161"/>
      <c r="F37" s="1161"/>
      <c r="G37" s="1161"/>
      <c r="H37" s="1161"/>
      <c r="I37" s="1161"/>
      <c r="J37" s="1161"/>
      <c r="K37" s="713"/>
      <c r="L37" s="2717"/>
      <c r="M37" s="2718"/>
      <c r="N37" s="2718"/>
      <c r="O37" s="2718"/>
      <c r="P37" s="3694" t="str">
        <f>A37</f>
        <v>估价对象XX用房的比较价值（楼面单价，元/平方米）</v>
      </c>
      <c r="Q37" s="3695"/>
      <c r="R37" s="3757" t="e">
        <f>IF(F1="售价",ROUND(IF(D36="简单平均",AVERAGE(R36:W36),R36*F36+T36*H36+V36*J36),0),ROUND(IF(D36="简单平均",AVERAGE(R36:V36),R36*F36+T36*H36+V36*J36),1))</f>
        <v>#DIV/0!</v>
      </c>
      <c r="S37" s="3757"/>
      <c r="T37" s="3757"/>
      <c r="U37" s="3757"/>
      <c r="V37" s="3757"/>
      <c r="W37" s="3757"/>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1795</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1676</v>
      </c>
      <c r="B46" s="455"/>
      <c r="C46" s="1182" t="str">
        <f>YEAR(C7)&amp;"-"&amp;MONTH(C7)</f>
        <v>2023-4</v>
      </c>
      <c r="D46" s="1183">
        <f>EDATE(C46,-1)</f>
        <v>44986</v>
      </c>
      <c r="E46" s="1183">
        <f t="shared" ref="E46:O46" si="16">EDATE(D46,-1)</f>
        <v>44958</v>
      </c>
      <c r="F46" s="1183">
        <f t="shared" si="16"/>
        <v>44927</v>
      </c>
      <c r="G46" s="1183">
        <f t="shared" si="16"/>
        <v>44896</v>
      </c>
      <c r="H46" s="1183">
        <f t="shared" si="16"/>
        <v>44866</v>
      </c>
      <c r="I46" s="1183">
        <f t="shared" si="16"/>
        <v>44835</v>
      </c>
      <c r="J46" s="1183">
        <f t="shared" si="16"/>
        <v>44805</v>
      </c>
      <c r="K46" s="1183">
        <f t="shared" si="16"/>
        <v>44774</v>
      </c>
      <c r="L46" s="1183">
        <f t="shared" si="16"/>
        <v>44743</v>
      </c>
      <c r="M46" s="1183">
        <f t="shared" si="16"/>
        <v>44713</v>
      </c>
      <c r="N46" s="1183">
        <f t="shared" si="16"/>
        <v>44682</v>
      </c>
      <c r="O46" s="1183">
        <f t="shared" si="16"/>
        <v>44652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1713</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1678</v>
      </c>
      <c r="B49" s="459"/>
      <c r="C49" s="471" t="s">
        <v>1773</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1716</v>
      </c>
      <c r="B51" s="477" t="s">
        <v>1682</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1685</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1860</v>
      </c>
      <c r="C63" s="527" t="s">
        <v>1718</v>
      </c>
      <c r="D63" s="527" t="s">
        <v>1719</v>
      </c>
      <c r="E63" s="527" t="s">
        <v>1720</v>
      </c>
      <c r="F63" s="527" t="s">
        <v>1721</v>
      </c>
      <c r="G63" s="527" t="s">
        <v>1722</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1810</v>
      </c>
      <c r="C65" s="608" t="s">
        <v>1796</v>
      </c>
      <c r="D65" s="608" t="s">
        <v>1797</v>
      </c>
      <c r="E65" s="608" t="s">
        <v>1798</v>
      </c>
      <c r="F65" s="608" t="s">
        <v>1799</v>
      </c>
      <c r="G65" s="608" t="s">
        <v>1800</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1730</v>
      </c>
      <c r="C67" s="527" t="s">
        <v>1718</v>
      </c>
      <c r="D67" s="527" t="s">
        <v>1719</v>
      </c>
      <c r="E67" s="527" t="s">
        <v>1720</v>
      </c>
      <c r="F67" s="527" t="s">
        <v>1721</v>
      </c>
      <c r="G67" s="527" t="s">
        <v>1722</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1849</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1691</v>
      </c>
      <c r="B77" s="477" t="s">
        <v>1737</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1853</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1861</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1863</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722" t="s">
        <v>1768</v>
      </c>
      <c r="S4" s="3723"/>
      <c r="T4" s="3722" t="s">
        <v>1769</v>
      </c>
      <c r="U4" s="3723"/>
      <c r="V4" s="3728" t="s">
        <v>1770</v>
      </c>
      <c r="W4" s="3728"/>
      <c r="X4" s="1353"/>
      <c r="Y4" s="3722" t="s">
        <v>1772</v>
      </c>
      <c r="Z4" s="3723"/>
      <c r="AA4" s="3709" t="s">
        <v>1768</v>
      </c>
      <c r="AB4" s="3710" t="s">
        <v>1769</v>
      </c>
      <c r="AC4" s="3709" t="s">
        <v>1770</v>
      </c>
    </row>
    <row r="5" spans="1:30" ht="15">
      <c r="A5" s="358"/>
      <c r="B5" s="359"/>
      <c r="C5" s="3731" t="s">
        <v>1670</v>
      </c>
      <c r="D5" s="3732"/>
      <c r="E5" s="3738" t="s">
        <v>1671</v>
      </c>
      <c r="F5" s="3739"/>
      <c r="G5" s="3731" t="s">
        <v>1672</v>
      </c>
      <c r="H5" s="3732"/>
      <c r="I5" s="3731" t="s">
        <v>1673</v>
      </c>
      <c r="J5" s="3732"/>
      <c r="K5" s="559"/>
      <c r="L5" s="2708"/>
      <c r="M5" s="2709"/>
      <c r="N5" s="2709"/>
      <c r="O5" s="2709"/>
      <c r="P5" s="3718"/>
      <c r="Q5" s="3719"/>
      <c r="R5" s="3724"/>
      <c r="S5" s="3725"/>
      <c r="T5" s="3724"/>
      <c r="U5" s="3725"/>
      <c r="V5" s="3728"/>
      <c r="W5" s="3728"/>
      <c r="X5" s="1353"/>
      <c r="Y5" s="3724"/>
      <c r="Z5" s="3725"/>
      <c r="AA5" s="3710"/>
      <c r="AB5" s="3710"/>
      <c r="AC5" s="3710"/>
    </row>
    <row r="6" spans="1:30" ht="15.75" thickBot="1">
      <c r="A6" s="360"/>
      <c r="B6" s="361"/>
      <c r="C6" s="3729" t="s">
        <v>1674</v>
      </c>
      <c r="D6" s="3730"/>
      <c r="E6" s="3736" t="s">
        <v>1674</v>
      </c>
      <c r="F6" s="3737"/>
      <c r="G6" s="3729" t="s">
        <v>1674</v>
      </c>
      <c r="H6" s="3730"/>
      <c r="I6" s="3729" t="s">
        <v>1674</v>
      </c>
      <c r="J6" s="3730"/>
      <c r="K6" s="559" t="s">
        <v>1675</v>
      </c>
      <c r="L6" s="2708"/>
      <c r="M6" s="2709"/>
      <c r="N6" s="2709"/>
      <c r="O6" s="2709"/>
      <c r="P6" s="3720"/>
      <c r="Q6" s="3721"/>
      <c r="R6" s="3724"/>
      <c r="S6" s="3725"/>
      <c r="T6" s="3726"/>
      <c r="U6" s="3727"/>
      <c r="V6" s="3728"/>
      <c r="W6" s="3728"/>
      <c r="X6" s="1353"/>
      <c r="Y6" s="3726"/>
      <c r="Z6" s="3727"/>
      <c r="AA6" s="3711"/>
      <c r="AB6" s="3711"/>
      <c r="AC6" s="3711"/>
    </row>
    <row r="7" spans="1:30" s="108" customFormat="1" ht="15.75" thickBot="1">
      <c r="A7" s="362" t="s">
        <v>1676</v>
      </c>
      <c r="B7" s="363"/>
      <c r="C7" s="364">
        <f>'数据-取费表'!B2</f>
        <v>45037</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733" t="s">
        <v>1677</v>
      </c>
      <c r="Q7" s="3735"/>
      <c r="R7" s="699" t="s">
        <v>14</v>
      </c>
      <c r="S7" s="700">
        <f t="shared" ref="S7:S15" si="0">F7</f>
        <v>0</v>
      </c>
      <c r="T7" s="699" t="s">
        <v>14</v>
      </c>
      <c r="U7" s="700">
        <f t="shared" ref="U7:U15" si="1">H7</f>
        <v>0</v>
      </c>
      <c r="V7" s="699" t="s">
        <v>14</v>
      </c>
      <c r="W7" s="700">
        <f t="shared" ref="W7:W15" si="2">J7</f>
        <v>0</v>
      </c>
      <c r="X7" s="701"/>
      <c r="Y7" s="3733" t="s">
        <v>1677</v>
      </c>
      <c r="Z7" s="3734"/>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3" t="s">
        <v>1680</v>
      </c>
      <c r="Q8" s="3734"/>
      <c r="R8" s="699" t="s">
        <v>14</v>
      </c>
      <c r="S8" s="700">
        <f t="shared" si="0"/>
        <v>0</v>
      </c>
      <c r="T8" s="699" t="s">
        <v>14</v>
      </c>
      <c r="U8" s="700">
        <f t="shared" si="1"/>
        <v>0</v>
      </c>
      <c r="V8" s="699" t="s">
        <v>14</v>
      </c>
      <c r="W8" s="700">
        <f t="shared" si="2"/>
        <v>0</v>
      </c>
      <c r="X8" s="701"/>
      <c r="Y8" s="3733" t="s">
        <v>1680</v>
      </c>
      <c r="Z8" s="3734"/>
      <c r="AA8" s="702" t="e">
        <f t="shared" ref="AA8:AA45" si="3">D8/F8</f>
        <v>#DIV/0!</v>
      </c>
      <c r="AB8" s="702" t="e">
        <f t="shared" ref="AB8:AB45" si="4">D8/H8</f>
        <v>#DIV/0!</v>
      </c>
      <c r="AC8" s="702" t="e">
        <f t="shared" ref="AC8:AC45" si="5">D8/J8</f>
        <v>#DIV/0!</v>
      </c>
    </row>
    <row r="9" spans="1:30" s="108" customFormat="1">
      <c r="A9" s="369" t="s">
        <v>1681</v>
      </c>
      <c r="B9" s="63" t="s">
        <v>1682</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697"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143</v>
      </c>
      <c r="G10" s="414"/>
      <c r="H10" s="127">
        <f>ROUND(100/'数据-取费表'!G16,0)</f>
        <v>143</v>
      </c>
      <c r="I10" s="414"/>
      <c r="J10" s="127">
        <f>ROUND(100/'数据-取费表'!G16,0)</f>
        <v>143</v>
      </c>
      <c r="K10" s="620"/>
      <c r="L10" s="2712"/>
      <c r="M10" s="2713"/>
      <c r="N10" s="2713"/>
      <c r="O10" s="2766"/>
      <c r="P10" s="3697"/>
      <c r="Q10" s="1341" t="str">
        <f t="shared" si="6"/>
        <v>土地使用年限（年）</v>
      </c>
      <c r="R10" s="699" t="s">
        <v>14</v>
      </c>
      <c r="S10" s="700">
        <f t="shared" si="0"/>
        <v>143</v>
      </c>
      <c r="T10" s="699" t="s">
        <v>14</v>
      </c>
      <c r="U10" s="700">
        <f t="shared" si="1"/>
        <v>143</v>
      </c>
      <c r="V10" s="699" t="s">
        <v>14</v>
      </c>
      <c r="W10" s="700">
        <f t="shared" si="2"/>
        <v>143</v>
      </c>
      <c r="X10" s="701"/>
      <c r="Y10" s="3578"/>
      <c r="Z10" s="52" t="str">
        <f t="shared" si="7"/>
        <v>土地使用年限（年）</v>
      </c>
      <c r="AA10" s="702">
        <f t="shared" si="3"/>
        <v>0.69930069930069927</v>
      </c>
      <c r="AB10" s="702">
        <f t="shared" si="4"/>
        <v>0.69930069930069927</v>
      </c>
      <c r="AC10" s="702">
        <f t="shared" si="5"/>
        <v>0.69930069930069927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97"/>
      <c r="Q11" s="1341" t="str">
        <f t="shared" si="6"/>
        <v>容积率</v>
      </c>
      <c r="R11" s="699" t="s">
        <v>14</v>
      </c>
      <c r="S11" s="700" t="e">
        <f t="shared" si="0"/>
        <v>#N/A</v>
      </c>
      <c r="T11" s="699" t="s">
        <v>14</v>
      </c>
      <c r="U11" s="700" t="e">
        <f t="shared" si="1"/>
        <v>#N/A</v>
      </c>
      <c r="V11" s="699" t="s">
        <v>14</v>
      </c>
      <c r="W11" s="700" t="e">
        <f t="shared" si="2"/>
        <v>#N/A</v>
      </c>
      <c r="X11" s="701"/>
      <c r="Y11" s="3578"/>
      <c r="Z11" s="52" t="str">
        <f t="shared" si="7"/>
        <v>容积率</v>
      </c>
      <c r="AA11" s="702" t="e">
        <f t="shared" si="3"/>
        <v>#N/A</v>
      </c>
      <c r="AB11" s="702" t="e">
        <f t="shared" si="4"/>
        <v>#N/A</v>
      </c>
      <c r="AC11" s="702"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97"/>
      <c r="Q12" s="1341" t="str">
        <f t="shared" si="6"/>
        <v>配建</v>
      </c>
      <c r="R12" s="699" t="s">
        <v>14</v>
      </c>
      <c r="S12" s="700">
        <f t="shared" si="0"/>
        <v>100</v>
      </c>
      <c r="T12" s="699" t="s">
        <v>14</v>
      </c>
      <c r="U12" s="700">
        <f t="shared" si="1"/>
        <v>100</v>
      </c>
      <c r="V12" s="699" t="s">
        <v>14</v>
      </c>
      <c r="W12" s="700">
        <f t="shared" si="2"/>
        <v>100</v>
      </c>
      <c r="X12" s="701"/>
      <c r="Y12" s="357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97"/>
      <c r="Q13" s="1341">
        <f t="shared" si="6"/>
        <v>111</v>
      </c>
      <c r="R13" s="699" t="s">
        <v>14</v>
      </c>
      <c r="S13" s="700">
        <f t="shared" si="0"/>
        <v>100</v>
      </c>
      <c r="T13" s="699" t="s">
        <v>14</v>
      </c>
      <c r="U13" s="700">
        <f t="shared" si="1"/>
        <v>100</v>
      </c>
      <c r="V13" s="699" t="s">
        <v>14</v>
      </c>
      <c r="W13" s="700">
        <f t="shared" si="2"/>
        <v>100</v>
      </c>
      <c r="X13" s="701"/>
      <c r="Y13" s="357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97"/>
      <c r="Q14" s="1341">
        <f t="shared" si="6"/>
        <v>111</v>
      </c>
      <c r="R14" s="699" t="s">
        <v>14</v>
      </c>
      <c r="S14" s="700">
        <f t="shared" si="0"/>
        <v>100</v>
      </c>
      <c r="T14" s="699" t="s">
        <v>14</v>
      </c>
      <c r="U14" s="700">
        <f t="shared" si="1"/>
        <v>100</v>
      </c>
      <c r="V14" s="699" t="s">
        <v>14</v>
      </c>
      <c r="W14" s="700">
        <f t="shared" si="2"/>
        <v>100</v>
      </c>
      <c r="X14" s="701"/>
      <c r="Y14" s="3578"/>
      <c r="Z14" s="52">
        <f t="shared" si="7"/>
        <v>111</v>
      </c>
      <c r="AA14" s="702">
        <f>D14/F14</f>
        <v>1</v>
      </c>
      <c r="AB14" s="702">
        <f>D14/H14</f>
        <v>1</v>
      </c>
      <c r="AC14" s="702">
        <f>D14/J14</f>
        <v>1</v>
      </c>
    </row>
    <row r="15" spans="1:30" ht="15">
      <c r="A15" s="391" t="s">
        <v>1687</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9" t="s">
        <v>1688</v>
      </c>
      <c r="Q15" s="1350" t="str">
        <f t="shared" si="6"/>
        <v>居住社区成熟度</v>
      </c>
      <c r="R15" s="703" t="s">
        <v>14</v>
      </c>
      <c r="S15" s="704">
        <f t="shared" si="0"/>
        <v>100</v>
      </c>
      <c r="T15" s="703" t="s">
        <v>14</v>
      </c>
      <c r="U15" s="704">
        <f t="shared" si="1"/>
        <v>100</v>
      </c>
      <c r="V15" s="703" t="s">
        <v>14</v>
      </c>
      <c r="W15" s="704">
        <f t="shared" si="2"/>
        <v>100</v>
      </c>
      <c r="X15" s="1353"/>
      <c r="Y15" s="3699" t="s">
        <v>1688</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00"/>
      <c r="Q16" s="1350"/>
      <c r="R16" s="703"/>
      <c r="S16" s="704"/>
      <c r="T16" s="703"/>
      <c r="U16" s="704"/>
      <c r="V16" s="703"/>
      <c r="W16" s="704"/>
      <c r="X16" s="1353"/>
      <c r="Y16" s="3700"/>
      <c r="Z16" s="1354"/>
      <c r="AA16" s="1351">
        <v>1</v>
      </c>
      <c r="AB16" s="1351">
        <v>1</v>
      </c>
      <c r="AC16" s="1351">
        <v>1</v>
      </c>
    </row>
    <row r="17" spans="1:29" ht="15">
      <c r="A17" s="379"/>
      <c r="B17" s="402" t="s">
        <v>1774</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00"/>
      <c r="Q17" s="1350" t="str">
        <f>B17</f>
        <v>商业繁华度</v>
      </c>
      <c r="R17" s="703" t="s">
        <v>14</v>
      </c>
      <c r="S17" s="704">
        <f>F17</f>
        <v>100</v>
      </c>
      <c r="T17" s="703" t="s">
        <v>14</v>
      </c>
      <c r="U17" s="704">
        <f>H17</f>
        <v>100</v>
      </c>
      <c r="V17" s="703" t="s">
        <v>14</v>
      </c>
      <c r="W17" s="704">
        <f>J17</f>
        <v>100</v>
      </c>
      <c r="X17" s="1353"/>
      <c r="Y17" s="370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00"/>
      <c r="Q18" s="1350"/>
      <c r="R18" s="703"/>
      <c r="S18" s="704"/>
      <c r="T18" s="703"/>
      <c r="U18" s="704"/>
      <c r="V18" s="703"/>
      <c r="W18" s="704"/>
      <c r="X18" s="1353"/>
      <c r="Y18" s="3700"/>
      <c r="Z18" s="1354"/>
      <c r="AA18" s="1351">
        <v>1</v>
      </c>
      <c r="AB18" s="1351">
        <v>1</v>
      </c>
      <c r="AC18" s="1351">
        <v>1</v>
      </c>
    </row>
    <row r="19" spans="1:29" ht="114">
      <c r="A19" s="379"/>
      <c r="B19" s="402" t="s">
        <v>1808</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00"/>
      <c r="Q19" s="1350" t="str">
        <f>B19</f>
        <v>办公集聚程度</v>
      </c>
      <c r="R19" s="703" t="s">
        <v>14</v>
      </c>
      <c r="S19" s="704">
        <f>F19</f>
        <v>100</v>
      </c>
      <c r="T19" s="703" t="s">
        <v>14</v>
      </c>
      <c r="U19" s="704">
        <f>H19</f>
        <v>100</v>
      </c>
      <c r="V19" s="703" t="s">
        <v>14</v>
      </c>
      <c r="W19" s="704">
        <f>J19</f>
        <v>100</v>
      </c>
      <c r="X19" s="1353"/>
      <c r="Y19" s="370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00"/>
      <c r="Q20" s="1350"/>
      <c r="R20" s="703"/>
      <c r="S20" s="704"/>
      <c r="T20" s="703"/>
      <c r="U20" s="704"/>
      <c r="V20" s="703"/>
      <c r="W20" s="704"/>
      <c r="X20" s="1353"/>
      <c r="Y20" s="3700"/>
      <c r="Z20" s="1354"/>
      <c r="AA20" s="1351">
        <v>1</v>
      </c>
      <c r="AB20" s="1351">
        <v>1</v>
      </c>
      <c r="AC20" s="1351">
        <v>1</v>
      </c>
    </row>
    <row r="21" spans="1:29" ht="99.75">
      <c r="A21" s="379"/>
      <c r="B21" s="402" t="s">
        <v>1830</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00"/>
      <c r="Q21" s="1350" t="str">
        <f>B21</f>
        <v>交通便捷度</v>
      </c>
      <c r="R21" s="703" t="s">
        <v>14</v>
      </c>
      <c r="S21" s="704">
        <f>F21</f>
        <v>100</v>
      </c>
      <c r="T21" s="703" t="s">
        <v>14</v>
      </c>
      <c r="U21" s="704">
        <f>H21</f>
        <v>100</v>
      </c>
      <c r="V21" s="703" t="s">
        <v>14</v>
      </c>
      <c r="W21" s="704">
        <f>J21</f>
        <v>100</v>
      </c>
      <c r="X21" s="1353"/>
      <c r="Y21" s="370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00"/>
      <c r="Q22" s="1350"/>
      <c r="R22" s="703"/>
      <c r="S22" s="704"/>
      <c r="T22" s="703"/>
      <c r="U22" s="704"/>
      <c r="V22" s="703"/>
      <c r="W22" s="704"/>
      <c r="X22" s="1353"/>
      <c r="Y22" s="3700"/>
      <c r="Z22" s="1354"/>
      <c r="AA22" s="1351">
        <v>1</v>
      </c>
      <c r="AB22" s="1351">
        <v>1</v>
      </c>
      <c r="AC22" s="1351">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00"/>
      <c r="Q23" s="1350" t="str">
        <f t="shared" ref="Q23:Q37" si="8">B23</f>
        <v>区域土地利用方向</v>
      </c>
      <c r="R23" s="703" t="s">
        <v>14</v>
      </c>
      <c r="S23" s="704">
        <f>F23</f>
        <v>100</v>
      </c>
      <c r="T23" s="703" t="s">
        <v>14</v>
      </c>
      <c r="U23" s="704">
        <f>H23</f>
        <v>100</v>
      </c>
      <c r="V23" s="703" t="s">
        <v>14</v>
      </c>
      <c r="W23" s="704">
        <f>J23</f>
        <v>100</v>
      </c>
      <c r="X23" s="1353"/>
      <c r="Y23" s="370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00"/>
      <c r="Q24" s="1350"/>
      <c r="R24" s="703"/>
      <c r="S24" s="704"/>
      <c r="T24" s="703"/>
      <c r="U24" s="704"/>
      <c r="V24" s="703"/>
      <c r="W24" s="704"/>
      <c r="X24" s="1353"/>
      <c r="Y24" s="3700"/>
      <c r="Z24" s="1354"/>
      <c r="AA24" s="1351"/>
      <c r="AB24" s="1351"/>
      <c r="AC24" s="1351"/>
    </row>
    <row r="25" spans="1:29" ht="99.75">
      <c r="A25" s="358"/>
      <c r="B25" s="1129" t="s">
        <v>1869</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00"/>
      <c r="Q25" s="1350" t="str">
        <f t="shared" si="8"/>
        <v>自然及人文环境状况</v>
      </c>
      <c r="R25" s="703" t="s">
        <v>14</v>
      </c>
      <c r="S25" s="704">
        <f>F25</f>
        <v>100</v>
      </c>
      <c r="T25" s="703" t="s">
        <v>14</v>
      </c>
      <c r="U25" s="704">
        <f>H25</f>
        <v>100</v>
      </c>
      <c r="V25" s="703" t="s">
        <v>14</v>
      </c>
      <c r="W25" s="704">
        <f>J25</f>
        <v>100</v>
      </c>
      <c r="X25" s="1353"/>
      <c r="Y25" s="370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00"/>
      <c r="Q26" s="1350"/>
      <c r="R26" s="703"/>
      <c r="S26" s="704"/>
      <c r="T26" s="703"/>
      <c r="U26" s="704"/>
      <c r="V26" s="703"/>
      <c r="W26" s="704"/>
      <c r="X26" s="1353"/>
      <c r="Y26" s="3700"/>
      <c r="Z26" s="1354"/>
      <c r="AA26" s="1351">
        <v>1</v>
      </c>
      <c r="AB26" s="1351">
        <v>1</v>
      </c>
      <c r="AC26" s="1351">
        <v>1</v>
      </c>
    </row>
    <row r="27" spans="1:29" s="108" customFormat="1" ht="85.5">
      <c r="A27" s="597"/>
      <c r="B27" s="1129" t="s">
        <v>1775</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00"/>
      <c r="Q27" s="1341" t="str">
        <f t="shared" si="8"/>
        <v>公共配套设施</v>
      </c>
      <c r="R27" s="699" t="s">
        <v>14</v>
      </c>
      <c r="S27" s="700">
        <f>F27</f>
        <v>100</v>
      </c>
      <c r="T27" s="699" t="s">
        <v>14</v>
      </c>
      <c r="U27" s="700">
        <f>H27</f>
        <v>100</v>
      </c>
      <c r="V27" s="699" t="s">
        <v>14</v>
      </c>
      <c r="W27" s="700">
        <f>J27</f>
        <v>100</v>
      </c>
      <c r="X27" s="701"/>
      <c r="Y27" s="370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00"/>
      <c r="Q28" s="1341"/>
      <c r="R28" s="699"/>
      <c r="S28" s="700"/>
      <c r="T28" s="699"/>
      <c r="U28" s="700"/>
      <c r="V28" s="699"/>
      <c r="W28" s="700"/>
      <c r="X28" s="701"/>
      <c r="Y28" s="3700"/>
      <c r="Z28" s="52"/>
      <c r="AA28" s="1351">
        <v>1</v>
      </c>
      <c r="AB28" s="1351">
        <v>1</v>
      </c>
      <c r="AC28" s="1351">
        <v>1</v>
      </c>
    </row>
    <row r="29" spans="1:29" s="108" customFormat="1" ht="42.75">
      <c r="A29" s="597"/>
      <c r="B29" s="1129" t="s">
        <v>1776</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00"/>
      <c r="Q29" s="1341" t="str">
        <f t="shared" ref="Q29" si="9">B29</f>
        <v>基础设施水平</v>
      </c>
      <c r="R29" s="699" t="s">
        <v>14</v>
      </c>
      <c r="S29" s="700">
        <f>F29</f>
        <v>100</v>
      </c>
      <c r="T29" s="699" t="s">
        <v>14</v>
      </c>
      <c r="U29" s="700">
        <f>H29</f>
        <v>100</v>
      </c>
      <c r="V29" s="699" t="s">
        <v>14</v>
      </c>
      <c r="W29" s="700">
        <f>J29</f>
        <v>100</v>
      </c>
      <c r="X29" s="701"/>
      <c r="Y29" s="370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00"/>
      <c r="Q30" s="1341"/>
      <c r="R30" s="699"/>
      <c r="S30" s="700"/>
      <c r="T30" s="699"/>
      <c r="U30" s="700"/>
      <c r="V30" s="699"/>
      <c r="W30" s="700"/>
      <c r="X30" s="701"/>
      <c r="Y30" s="3700"/>
      <c r="Z30" s="52"/>
      <c r="AA30" s="1351">
        <v>1</v>
      </c>
      <c r="AB30" s="1351">
        <v>1</v>
      </c>
      <c r="AC30" s="1351">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0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0"/>
      <c r="Z31" s="1354" t="str">
        <f t="shared" ref="Z31:Z45" si="13">Q31</f>
        <v>临街状况</v>
      </c>
      <c r="AA31" s="1351">
        <f t="shared" si="3"/>
        <v>1</v>
      </c>
      <c r="AB31" s="1351">
        <f t="shared" si="4"/>
        <v>1</v>
      </c>
      <c r="AC31" s="1351">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00"/>
      <c r="Q32" s="1350" t="str">
        <f t="shared" si="8"/>
        <v>毗邻道路的类型与等级</v>
      </c>
      <c r="R32" s="703" t="s">
        <v>14</v>
      </c>
      <c r="S32" s="704">
        <f t="shared" si="10"/>
        <v>100</v>
      </c>
      <c r="T32" s="703" t="s">
        <v>14</v>
      </c>
      <c r="U32" s="704">
        <f t="shared" si="11"/>
        <v>100</v>
      </c>
      <c r="V32" s="703" t="s">
        <v>14</v>
      </c>
      <c r="W32" s="704">
        <f t="shared" si="12"/>
        <v>100</v>
      </c>
      <c r="X32" s="1353"/>
      <c r="Y32" s="370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00"/>
      <c r="Q33" s="1350"/>
      <c r="R33" s="703"/>
      <c r="S33" s="704"/>
      <c r="T33" s="703"/>
      <c r="U33" s="704"/>
      <c r="V33" s="703"/>
      <c r="W33" s="704"/>
      <c r="X33" s="1353"/>
      <c r="Y33" s="3700"/>
      <c r="Z33" s="1354"/>
      <c r="AA33" s="1351">
        <v>1</v>
      </c>
      <c r="AB33" s="1351">
        <v>1</v>
      </c>
      <c r="AC33" s="1351">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00"/>
      <c r="Q34" s="1350" t="str">
        <f t="shared" si="8"/>
        <v>土地级别</v>
      </c>
      <c r="R34" s="703" t="s">
        <v>14</v>
      </c>
      <c r="S34" s="704">
        <f t="shared" si="10"/>
        <v>100</v>
      </c>
      <c r="T34" s="703" t="s">
        <v>14</v>
      </c>
      <c r="U34" s="704">
        <f t="shared" si="11"/>
        <v>100</v>
      </c>
      <c r="V34" s="703" t="s">
        <v>14</v>
      </c>
      <c r="W34" s="704">
        <f t="shared" si="12"/>
        <v>100</v>
      </c>
      <c r="X34" s="1353"/>
      <c r="Y34" s="370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00"/>
      <c r="Q35" s="1350">
        <f t="shared" si="8"/>
        <v>111</v>
      </c>
      <c r="R35" s="703" t="s">
        <v>14</v>
      </c>
      <c r="S35" s="704">
        <f t="shared" si="10"/>
        <v>100</v>
      </c>
      <c r="T35" s="703" t="s">
        <v>14</v>
      </c>
      <c r="U35" s="704">
        <f t="shared" si="11"/>
        <v>100</v>
      </c>
      <c r="V35" s="703" t="s">
        <v>14</v>
      </c>
      <c r="W35" s="704">
        <f t="shared" si="12"/>
        <v>100</v>
      </c>
      <c r="X35" s="1353"/>
      <c r="Y35" s="370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56" t="s">
        <v>1693</v>
      </c>
      <c r="Q36" s="1350">
        <f t="shared" si="8"/>
        <v>111</v>
      </c>
      <c r="R36" s="703" t="s">
        <v>14</v>
      </c>
      <c r="S36" s="704">
        <f t="shared" si="10"/>
        <v>100</v>
      </c>
      <c r="T36" s="703" t="s">
        <v>14</v>
      </c>
      <c r="U36" s="704">
        <f t="shared" si="11"/>
        <v>100</v>
      </c>
      <c r="V36" s="703" t="s">
        <v>14</v>
      </c>
      <c r="W36" s="704">
        <f t="shared" si="12"/>
        <v>100</v>
      </c>
      <c r="X36" s="1353"/>
      <c r="Y36" s="3704" t="s">
        <v>1693</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4"/>
      <c r="Q37" s="1350">
        <f t="shared" si="8"/>
        <v>111</v>
      </c>
      <c r="R37" s="706" t="s">
        <v>14</v>
      </c>
      <c r="S37" s="707">
        <f t="shared" si="10"/>
        <v>100</v>
      </c>
      <c r="T37" s="706" t="s">
        <v>14</v>
      </c>
      <c r="U37" s="707">
        <f t="shared" si="11"/>
        <v>100</v>
      </c>
      <c r="V37" s="706" t="s">
        <v>14</v>
      </c>
      <c r="W37" s="707">
        <f t="shared" si="12"/>
        <v>100</v>
      </c>
      <c r="X37" s="708"/>
      <c r="Y37" s="3704"/>
      <c r="Z37" s="709">
        <f t="shared" si="13"/>
        <v>111</v>
      </c>
      <c r="AA37" s="1351">
        <f t="shared" si="3"/>
        <v>1</v>
      </c>
      <c r="AB37" s="1351">
        <f t="shared" si="4"/>
        <v>1</v>
      </c>
      <c r="AC37" s="1351">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4"/>
      <c r="Q38" s="1350" t="str">
        <f>B38</f>
        <v>宗地面积</v>
      </c>
      <c r="R38" s="703" t="s">
        <v>14</v>
      </c>
      <c r="S38" s="704" t="e">
        <f t="shared" si="10"/>
        <v>#N/A</v>
      </c>
      <c r="T38" s="703" t="s">
        <v>14</v>
      </c>
      <c r="U38" s="704" t="e">
        <f t="shared" si="11"/>
        <v>#N/A</v>
      </c>
      <c r="V38" s="703" t="s">
        <v>14</v>
      </c>
      <c r="W38" s="704" t="e">
        <f t="shared" si="12"/>
        <v>#N/A</v>
      </c>
      <c r="X38" s="1353"/>
      <c r="Y38" s="3704"/>
      <c r="Z38" s="1354" t="str">
        <f t="shared" si="13"/>
        <v>宗地面积</v>
      </c>
      <c r="AA38" s="1351" t="e">
        <f t="shared" si="3"/>
        <v>#N/A</v>
      </c>
      <c r="AB38" s="1351" t="e">
        <f t="shared" si="4"/>
        <v>#N/A</v>
      </c>
      <c r="AC38" s="1351"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04"/>
      <c r="Q39" s="1350" t="str">
        <f t="shared" ref="Q39:Q45" si="14">B39</f>
        <v>宗地形状</v>
      </c>
      <c r="R39" s="703" t="s">
        <v>14</v>
      </c>
      <c r="S39" s="704">
        <f t="shared" si="10"/>
        <v>100</v>
      </c>
      <c r="T39" s="703" t="s">
        <v>14</v>
      </c>
      <c r="U39" s="704">
        <f t="shared" si="11"/>
        <v>100</v>
      </c>
      <c r="V39" s="703" t="s">
        <v>14</v>
      </c>
      <c r="W39" s="704">
        <f t="shared" si="12"/>
        <v>100</v>
      </c>
      <c r="X39" s="1353"/>
      <c r="Y39" s="3704"/>
      <c r="Z39" s="1354" t="str">
        <f t="shared" si="13"/>
        <v>宗地形状</v>
      </c>
      <c r="AA39" s="1351">
        <f t="shared" si="3"/>
        <v>1</v>
      </c>
      <c r="AB39" s="1351">
        <f t="shared" si="4"/>
        <v>1</v>
      </c>
      <c r="AC39" s="1351">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04"/>
      <c r="Q40" s="1350" t="str">
        <f t="shared" si="14"/>
        <v>临街宽度及深度</v>
      </c>
      <c r="R40" s="703" t="s">
        <v>14</v>
      </c>
      <c r="S40" s="704">
        <f t="shared" si="10"/>
        <v>100</v>
      </c>
      <c r="T40" s="703" t="s">
        <v>14</v>
      </c>
      <c r="U40" s="704">
        <f t="shared" si="11"/>
        <v>100</v>
      </c>
      <c r="V40" s="703" t="s">
        <v>14</v>
      </c>
      <c r="W40" s="704">
        <f t="shared" si="12"/>
        <v>100</v>
      </c>
      <c r="X40" s="1353"/>
      <c r="Y40" s="3704"/>
      <c r="Z40" s="1354" t="str">
        <f t="shared" si="13"/>
        <v>临街宽度及深度</v>
      </c>
      <c r="AA40" s="1351">
        <f t="shared" si="3"/>
        <v>1</v>
      </c>
      <c r="AB40" s="1351">
        <f t="shared" si="4"/>
        <v>1</v>
      </c>
      <c r="AC40" s="1351">
        <f t="shared" si="5"/>
        <v>1</v>
      </c>
    </row>
    <row r="41" spans="1:29" s="108" customFormat="1" ht="15">
      <c r="A41" s="424"/>
      <c r="B41" s="375" t="s">
        <v>1874</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04"/>
      <c r="Q41" s="1350"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04" t="s">
        <v>1693</v>
      </c>
      <c r="Q42" s="1350" t="str">
        <f t="shared" si="14"/>
        <v>工程地质条件</v>
      </c>
      <c r="R42" s="703" t="s">
        <v>14</v>
      </c>
      <c r="S42" s="704">
        <f t="shared" si="10"/>
        <v>100</v>
      </c>
      <c r="T42" s="703" t="s">
        <v>14</v>
      </c>
      <c r="U42" s="704">
        <f t="shared" si="11"/>
        <v>100</v>
      </c>
      <c r="V42" s="703" t="s">
        <v>14</v>
      </c>
      <c r="W42" s="704">
        <f t="shared" si="12"/>
        <v>100</v>
      </c>
      <c r="X42" s="1353"/>
      <c r="Y42" s="3704" t="s">
        <v>1693</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4"/>
      <c r="Q43" s="1350">
        <f t="shared" si="14"/>
        <v>111</v>
      </c>
      <c r="R43" s="703" t="s">
        <v>14</v>
      </c>
      <c r="S43" s="704">
        <f t="shared" si="10"/>
        <v>100</v>
      </c>
      <c r="T43" s="703" t="s">
        <v>14</v>
      </c>
      <c r="U43" s="704">
        <f t="shared" si="11"/>
        <v>100</v>
      </c>
      <c r="V43" s="703" t="s">
        <v>14</v>
      </c>
      <c r="W43" s="704">
        <f t="shared" si="12"/>
        <v>100</v>
      </c>
      <c r="X43" s="1353"/>
      <c r="Y43" s="370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4"/>
      <c r="Q44" s="1350">
        <f t="shared" si="14"/>
        <v>111</v>
      </c>
      <c r="R44" s="703" t="s">
        <v>14</v>
      </c>
      <c r="S44" s="704">
        <f t="shared" si="10"/>
        <v>100</v>
      </c>
      <c r="T44" s="703" t="s">
        <v>14</v>
      </c>
      <c r="U44" s="704">
        <f t="shared" si="11"/>
        <v>100</v>
      </c>
      <c r="V44" s="703" t="s">
        <v>14</v>
      </c>
      <c r="W44" s="704">
        <f t="shared" si="12"/>
        <v>100</v>
      </c>
      <c r="X44" s="1353"/>
      <c r="Y44" s="370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4"/>
      <c r="Q45" s="1350">
        <f t="shared" si="14"/>
        <v>111</v>
      </c>
      <c r="R45" s="706" t="s">
        <v>14</v>
      </c>
      <c r="S45" s="707">
        <f t="shared" si="10"/>
        <v>100</v>
      </c>
      <c r="T45" s="706" t="s">
        <v>14</v>
      </c>
      <c r="U45" s="707">
        <f t="shared" si="11"/>
        <v>100</v>
      </c>
      <c r="V45" s="706" t="s">
        <v>14</v>
      </c>
      <c r="W45" s="707">
        <f t="shared" si="12"/>
        <v>100</v>
      </c>
      <c r="X45" s="708"/>
      <c r="Y45" s="3704"/>
      <c r="Z45" s="709">
        <f t="shared" si="13"/>
        <v>111</v>
      </c>
      <c r="AA45" s="1351">
        <f t="shared" si="3"/>
        <v>1</v>
      </c>
      <c r="AB45" s="1351">
        <f t="shared" si="4"/>
        <v>1</v>
      </c>
      <c r="AC45" s="1351">
        <f t="shared" si="5"/>
        <v>1</v>
      </c>
    </row>
    <row r="46" spans="1:29" ht="15">
      <c r="A46" s="430" t="s">
        <v>1841</v>
      </c>
      <c r="B46" s="1980" t="s">
        <v>1876</v>
      </c>
      <c r="C46" s="630" t="s">
        <v>0</v>
      </c>
      <c r="D46" s="432"/>
      <c r="E46" s="433"/>
      <c r="F46" s="434"/>
      <c r="G46" s="435"/>
      <c r="H46" s="436"/>
      <c r="I46" s="433"/>
      <c r="J46" s="436"/>
      <c r="K46" s="712"/>
      <c r="L46" s="2717"/>
      <c r="M46" s="2718"/>
      <c r="N46" s="2709"/>
      <c r="O46" s="2718"/>
      <c r="P46" s="3697" t="str">
        <f>A46</f>
        <v>成交单价</v>
      </c>
      <c r="Q46" s="3697"/>
      <c r="R46" s="3728">
        <f>E46</f>
        <v>0</v>
      </c>
      <c r="S46" s="3728"/>
      <c r="T46" s="3728">
        <f>G46</f>
        <v>0</v>
      </c>
      <c r="U46" s="3728"/>
      <c r="V46" s="3728">
        <f>I46</f>
        <v>0</v>
      </c>
      <c r="W46" s="3728"/>
      <c r="X46" s="688"/>
      <c r="Y46" s="710"/>
      <c r="Z46" s="688"/>
      <c r="AA46" s="688"/>
      <c r="AB46" s="688"/>
      <c r="AC46" s="688"/>
    </row>
    <row r="47" spans="1:29" ht="15.75" thickBot="1">
      <c r="A47" s="437" t="s">
        <v>1790</v>
      </c>
      <c r="B47" s="631"/>
      <c r="C47" s="440" t="e">
        <f>R48</f>
        <v>#DIV/0!</v>
      </c>
      <c r="D47" s="2315" t="s">
        <v>2133</v>
      </c>
      <c r="E47" s="440" t="e">
        <f>R47</f>
        <v>#DIV/0!</v>
      </c>
      <c r="F47" s="2316"/>
      <c r="G47" s="439" t="e">
        <f>T47</f>
        <v>#DIV/0!</v>
      </c>
      <c r="H47" s="2316"/>
      <c r="I47" s="440" t="e">
        <f>V47</f>
        <v>#DIV/0!</v>
      </c>
      <c r="J47" s="2316"/>
      <c r="K47" s="2318">
        <f>F47+H47+J47</f>
        <v>0</v>
      </c>
      <c r="L47" s="2717"/>
      <c r="M47" s="2718"/>
      <c r="N47" s="2718"/>
      <c r="O47" s="2718"/>
      <c r="P47" s="3697" t="str">
        <f>A47</f>
        <v>比较价值（元/平方米）</v>
      </c>
      <c r="Q47" s="3697"/>
      <c r="R47" s="3758" t="e">
        <f>ROUND(PRODUCT(R46,AA7:AA45),0)</f>
        <v>#DIV/0!</v>
      </c>
      <c r="S47" s="3758"/>
      <c r="T47" s="3758" t="e">
        <f>ROUND(PRODUCT(T46,AB7:AB45),0)</f>
        <v>#DIV/0!</v>
      </c>
      <c r="U47" s="3758"/>
      <c r="V47" s="3758" t="e">
        <f>ROUND(PRODUCT(V46,AC7:AC45),0)</f>
        <v>#DIV/0!</v>
      </c>
      <c r="W47" s="3758"/>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17"/>
      <c r="M48" s="2718"/>
      <c r="N48" s="2718"/>
      <c r="O48" s="2718"/>
      <c r="P48" s="3694" t="str">
        <f>A48</f>
        <v>估价对象XX用房的比较价值（楼面单价，元/平方米）</v>
      </c>
      <c r="Q48" s="3695"/>
      <c r="R48" s="3759" t="e">
        <f>ROUND(IF(D47="简单平均",AVERAGE(R47:W47),R47*F47+T47*H47+V47*J47),0)</f>
        <v>#DIV/0!</v>
      </c>
      <c r="S48" s="3759"/>
      <c r="T48" s="3759"/>
      <c r="U48" s="3759"/>
      <c r="V48" s="3759"/>
      <c r="W48" s="3759"/>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1878</v>
      </c>
      <c r="B55" s="633" t="s">
        <v>1879</v>
      </c>
      <c r="C55" s="1981" t="s">
        <v>1880</v>
      </c>
      <c r="D55" s="1982" t="s">
        <v>1881</v>
      </c>
      <c r="E55" s="634" t="s">
        <v>1882</v>
      </c>
      <c r="F55" s="888" t="s">
        <v>1883</v>
      </c>
      <c r="G55" s="3712" t="s">
        <v>1884</v>
      </c>
      <c r="H55" s="3760"/>
      <c r="I55" s="135" t="s">
        <v>1885</v>
      </c>
      <c r="J55" s="1983">
        <f>项目基本情况!F35</f>
        <v>0</v>
      </c>
      <c r="K55" s="1984" t="s">
        <v>1886</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1887</v>
      </c>
      <c r="B56" s="637" t="e">
        <f>C48</f>
        <v>#DIV/0!</v>
      </c>
      <c r="C56" s="638">
        <v>1</v>
      </c>
      <c r="D56" s="942">
        <v>1</v>
      </c>
      <c r="E56" s="638">
        <f>'数据-汇总表'!E8+'数据-汇总表'!E9</f>
        <v>3455.7</v>
      </c>
      <c r="F56" s="884" t="e">
        <f t="shared" ref="F56:F64" si="15">ROUND(B56*E56/10000,0)</f>
        <v>#DIV/0!</v>
      </c>
      <c r="G56" s="3708"/>
      <c r="H56" s="3697"/>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1888</v>
      </c>
      <c r="B57" s="218" t="e">
        <f>ROUND($C$48*C57*D57,0)</f>
        <v>#DIV/0!</v>
      </c>
      <c r="C57" s="171">
        <f t="shared" ref="C57:C64" si="16">IF($C$55="北京市系数",I57,J57)</f>
        <v>0</v>
      </c>
      <c r="D57" s="943">
        <v>0.25</v>
      </c>
      <c r="E57" s="642"/>
      <c r="F57" s="884" t="e">
        <f t="shared" si="15"/>
        <v>#DIV/0!</v>
      </c>
      <c r="G57" s="2999" t="s">
        <v>1889</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1890</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1891</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1892</v>
      </c>
      <c r="B60" s="218" t="e">
        <f t="shared" si="17"/>
        <v>#DIV/0!</v>
      </c>
      <c r="C60" s="171">
        <f t="shared" si="16"/>
        <v>0.3</v>
      </c>
      <c r="D60" s="943">
        <v>0.25</v>
      </c>
      <c r="E60" s="217">
        <f>'数据-汇总表'!E11</f>
        <v>0</v>
      </c>
      <c r="F60" s="884" t="e">
        <f t="shared" si="15"/>
        <v>#DIV/0!</v>
      </c>
      <c r="G60" s="1985" t="s">
        <v>1893</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1894</v>
      </c>
      <c r="B61" s="218" t="e">
        <f t="shared" si="17"/>
        <v>#DIV/0!</v>
      </c>
      <c r="C61" s="171">
        <f t="shared" si="16"/>
        <v>0.3</v>
      </c>
      <c r="D61" s="943">
        <v>0.25</v>
      </c>
      <c r="E61" s="217">
        <f>'数据-汇总表'!E12</f>
        <v>0</v>
      </c>
      <c r="F61" s="884" t="e">
        <f t="shared" si="15"/>
        <v>#DIV/0!</v>
      </c>
      <c r="G61" s="890" t="s">
        <v>1895</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1896</v>
      </c>
      <c r="B62" s="218" t="e">
        <f t="shared" si="17"/>
        <v>#DIV/0!</v>
      </c>
      <c r="C62" s="171">
        <f t="shared" si="16"/>
        <v>0</v>
      </c>
      <c r="D62" s="943">
        <v>0.25</v>
      </c>
      <c r="E62" s="217">
        <f>'数据-汇总表'!E13</f>
        <v>0</v>
      </c>
      <c r="F62" s="884" t="e">
        <f t="shared" si="15"/>
        <v>#DIV/0!</v>
      </c>
      <c r="G62" s="890" t="s">
        <v>1897</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1898</v>
      </c>
      <c r="B63" s="218" t="e">
        <f t="shared" si="17"/>
        <v>#DIV/0!</v>
      </c>
      <c r="C63" s="171">
        <f t="shared" si="16"/>
        <v>0</v>
      </c>
      <c r="D63" s="943">
        <v>0.25</v>
      </c>
      <c r="E63" s="217">
        <f>'数据-汇总表'!E14</f>
        <v>0</v>
      </c>
      <c r="F63" s="884" t="e">
        <f t="shared" si="15"/>
        <v>#DIV/0!</v>
      </c>
      <c r="G63" s="1985" t="s">
        <v>1889</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1899</v>
      </c>
      <c r="B64" s="218" t="e">
        <f t="shared" si="17"/>
        <v>#DIV/0!</v>
      </c>
      <c r="C64" s="171">
        <f t="shared" si="16"/>
        <v>0.2</v>
      </c>
      <c r="D64" s="943">
        <v>0.25</v>
      </c>
      <c r="E64" s="217">
        <f>'数据-汇总表'!E15</f>
        <v>0</v>
      </c>
      <c r="F64" s="884" t="e">
        <f t="shared" si="15"/>
        <v>#DIV/0!</v>
      </c>
      <c r="G64" s="1986" t="s">
        <v>1893</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1900</v>
      </c>
      <c r="B65" s="644" t="s">
        <v>22</v>
      </c>
      <c r="C65" s="644" t="s">
        <v>23</v>
      </c>
      <c r="D65" s="644" t="s">
        <v>392</v>
      </c>
      <c r="E65" s="644">
        <f>IF(B46="楼面地价",SUM(E56:E64),'数据-汇总表'!D3)</f>
        <v>3455.7</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2023-4-1</v>
      </c>
      <c r="D67" s="690">
        <f>EDATE(C67,-3)</f>
        <v>44927</v>
      </c>
      <c r="E67" s="690">
        <f>EDATE(D67,-3)</f>
        <v>44835</v>
      </c>
      <c r="F67" s="690">
        <f t="shared" ref="F67:O67" si="18">EDATE(E67,-3)</f>
        <v>44743</v>
      </c>
      <c r="G67" s="690">
        <f t="shared" si="18"/>
        <v>44652</v>
      </c>
      <c r="H67" s="690">
        <f t="shared" si="18"/>
        <v>44562</v>
      </c>
      <c r="I67" s="690">
        <f t="shared" si="18"/>
        <v>44470</v>
      </c>
      <c r="J67" s="690">
        <f t="shared" si="18"/>
        <v>44378</v>
      </c>
      <c r="K67" s="690">
        <f t="shared" si="18"/>
        <v>44287</v>
      </c>
      <c r="L67" s="690">
        <f t="shared" si="18"/>
        <v>44197</v>
      </c>
      <c r="M67" s="690">
        <f t="shared" si="18"/>
        <v>44105</v>
      </c>
      <c r="N67" s="690">
        <f t="shared" si="18"/>
        <v>44013</v>
      </c>
      <c r="O67" s="690">
        <f t="shared" si="18"/>
        <v>43922</v>
      </c>
      <c r="P67" s="2718"/>
      <c r="Q67" s="2718"/>
      <c r="R67" s="2718"/>
      <c r="S67" s="2718"/>
      <c r="T67" s="2718"/>
      <c r="U67" s="2718"/>
      <c r="V67" s="2718"/>
      <c r="W67" s="2718"/>
      <c r="X67" s="2718"/>
      <c r="Y67" s="2718"/>
      <c r="Z67" s="2718"/>
      <c r="AA67" s="2718"/>
      <c r="AB67" s="2718"/>
      <c r="AC67" s="2718"/>
    </row>
    <row r="68" spans="1:29" ht="21.75" thickBot="1">
      <c r="A68" s="692" t="s">
        <v>1795</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1901</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88"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1713</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1678</v>
      </c>
      <c r="B72" s="459"/>
      <c r="C72" s="471" t="s">
        <v>1773</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1716</v>
      </c>
      <c r="B74" s="477" t="s">
        <v>1682</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1685</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1687</v>
      </c>
      <c r="B87" s="477" t="s">
        <v>1717</v>
      </c>
      <c r="C87" s="522" t="s">
        <v>1718</v>
      </c>
      <c r="D87" s="522" t="s">
        <v>1719</v>
      </c>
      <c r="E87" s="522" t="s">
        <v>1720</v>
      </c>
      <c r="F87" s="522" t="s">
        <v>1721</v>
      </c>
      <c r="G87" s="522" t="s">
        <v>1722</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1903</v>
      </c>
      <c r="C89" s="527" t="s">
        <v>1718</v>
      </c>
      <c r="D89" s="527" t="s">
        <v>1719</v>
      </c>
      <c r="E89" s="527" t="s">
        <v>1720</v>
      </c>
      <c r="F89" s="527" t="s">
        <v>1721</v>
      </c>
      <c r="G89" s="527" t="s">
        <v>1722</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1818</v>
      </c>
      <c r="C91" s="527" t="s">
        <v>1718</v>
      </c>
      <c r="D91" s="527" t="s">
        <v>1719</v>
      </c>
      <c r="E91" s="527" t="s">
        <v>1720</v>
      </c>
      <c r="F91" s="527" t="s">
        <v>1721</v>
      </c>
      <c r="G91" s="527" t="s">
        <v>1722</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1723</v>
      </c>
      <c r="C93" s="527" t="s">
        <v>1718</v>
      </c>
      <c r="D93" s="527" t="s">
        <v>1719</v>
      </c>
      <c r="E93" s="527" t="s">
        <v>1720</v>
      </c>
      <c r="F93" s="527" t="s">
        <v>1721</v>
      </c>
      <c r="G93" s="527" t="s">
        <v>1722</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1812</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1870</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1914</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722" t="s">
        <v>1768</v>
      </c>
      <c r="S4" s="3723"/>
      <c r="T4" s="3722" t="s">
        <v>1769</v>
      </c>
      <c r="U4" s="3723"/>
      <c r="V4" s="3728" t="s">
        <v>1770</v>
      </c>
      <c r="W4" s="3728"/>
      <c r="X4" s="1353"/>
      <c r="Y4" s="3722" t="s">
        <v>1772</v>
      </c>
      <c r="Z4" s="3723"/>
      <c r="AA4" s="3709" t="s">
        <v>1768</v>
      </c>
      <c r="AB4" s="3710" t="s">
        <v>1769</v>
      </c>
      <c r="AC4" s="3709" t="s">
        <v>1770</v>
      </c>
    </row>
    <row r="5" spans="1:29" ht="15">
      <c r="A5" s="358"/>
      <c r="B5" s="359"/>
      <c r="C5" s="3731" t="s">
        <v>1670</v>
      </c>
      <c r="D5" s="3732"/>
      <c r="E5" s="3738" t="s">
        <v>1671</v>
      </c>
      <c r="F5" s="3739"/>
      <c r="G5" s="3731" t="s">
        <v>1672</v>
      </c>
      <c r="H5" s="3732"/>
      <c r="I5" s="3731" t="s">
        <v>1673</v>
      </c>
      <c r="J5" s="3732"/>
      <c r="K5" s="559"/>
      <c r="L5" s="2708"/>
      <c r="M5" s="2709"/>
      <c r="N5" s="2709"/>
      <c r="O5" s="2709"/>
      <c r="P5" s="3718"/>
      <c r="Q5" s="3719"/>
      <c r="R5" s="3724"/>
      <c r="S5" s="3725"/>
      <c r="T5" s="3724"/>
      <c r="U5" s="3725"/>
      <c r="V5" s="3728"/>
      <c r="W5" s="3728"/>
      <c r="X5" s="1353"/>
      <c r="Y5" s="3724"/>
      <c r="Z5" s="3725"/>
      <c r="AA5" s="3710"/>
      <c r="AB5" s="3710"/>
      <c r="AC5" s="3710"/>
    </row>
    <row r="6" spans="1:29" ht="15.75" thickBot="1">
      <c r="A6" s="360"/>
      <c r="B6" s="361"/>
      <c r="C6" s="3761" t="s">
        <v>1916</v>
      </c>
      <c r="D6" s="3762"/>
      <c r="E6" s="3763" t="s">
        <v>1916</v>
      </c>
      <c r="F6" s="3764"/>
      <c r="G6" s="3761" t="s">
        <v>1916</v>
      </c>
      <c r="H6" s="3762"/>
      <c r="I6" s="3761" t="s">
        <v>1916</v>
      </c>
      <c r="J6" s="3762"/>
      <c r="K6" s="559" t="s">
        <v>1675</v>
      </c>
      <c r="L6" s="2708"/>
      <c r="M6" s="2709"/>
      <c r="N6" s="2709"/>
      <c r="O6" s="2709"/>
      <c r="P6" s="3720"/>
      <c r="Q6" s="3721"/>
      <c r="R6" s="3724"/>
      <c r="S6" s="3725"/>
      <c r="T6" s="3726"/>
      <c r="U6" s="3727"/>
      <c r="V6" s="3728"/>
      <c r="W6" s="3728"/>
      <c r="X6" s="1353"/>
      <c r="Y6" s="3726"/>
      <c r="Z6" s="3727"/>
      <c r="AA6" s="3711"/>
      <c r="AB6" s="3711"/>
      <c r="AC6" s="3711"/>
    </row>
    <row r="7" spans="1:29" s="108" customFormat="1" ht="15.75" thickBot="1">
      <c r="A7" s="362" t="s">
        <v>1676</v>
      </c>
      <c r="B7" s="363"/>
      <c r="C7" s="364">
        <f>'数据-取费表'!B2</f>
        <v>45037</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33" t="s">
        <v>1677</v>
      </c>
      <c r="Q7" s="3735"/>
      <c r="R7" s="699" t="s">
        <v>14</v>
      </c>
      <c r="S7" s="700">
        <f t="shared" ref="S7:S15" si="0">F7</f>
        <v>0</v>
      </c>
      <c r="T7" s="699" t="s">
        <v>14</v>
      </c>
      <c r="U7" s="700">
        <f t="shared" ref="U7:U15" si="1">H7</f>
        <v>0</v>
      </c>
      <c r="V7" s="699" t="s">
        <v>14</v>
      </c>
      <c r="W7" s="700">
        <f t="shared" ref="W7:W15" si="2">J7</f>
        <v>0</v>
      </c>
      <c r="X7" s="701"/>
      <c r="Y7" s="3733" t="s">
        <v>1677</v>
      </c>
      <c r="Z7" s="3734"/>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3" t="s">
        <v>1680</v>
      </c>
      <c r="Q8" s="3734"/>
      <c r="R8" s="699" t="s">
        <v>14</v>
      </c>
      <c r="S8" s="700">
        <f t="shared" si="0"/>
        <v>0</v>
      </c>
      <c r="T8" s="699" t="s">
        <v>14</v>
      </c>
      <c r="U8" s="700">
        <f t="shared" si="1"/>
        <v>0</v>
      </c>
      <c r="V8" s="699" t="s">
        <v>14</v>
      </c>
      <c r="W8" s="700">
        <f t="shared" si="2"/>
        <v>0</v>
      </c>
      <c r="X8" s="701"/>
      <c r="Y8" s="3733" t="s">
        <v>1680</v>
      </c>
      <c r="Z8" s="3734"/>
      <c r="AA8" s="702" t="e">
        <f t="shared" ref="AA8:AA40" si="3">D8/F8</f>
        <v>#DIV/0!</v>
      </c>
      <c r="AB8" s="702" t="e">
        <f t="shared" ref="AB8:AB40" si="4">D8/H8</f>
        <v>#DIV/0!</v>
      </c>
      <c r="AC8" s="702" t="e">
        <f t="shared" ref="AC8:AC40" si="5">D8/J8</f>
        <v>#DIV/0!</v>
      </c>
    </row>
    <row r="9" spans="1:29" s="108" customFormat="1">
      <c r="A9" s="369" t="s">
        <v>1681</v>
      </c>
      <c r="B9" s="63" t="s">
        <v>1682</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697" t="s">
        <v>1683</v>
      </c>
      <c r="Q9" s="1341" t="str">
        <f t="shared" ref="Q9:Q15" si="6">B9</f>
        <v>用途</v>
      </c>
      <c r="R9" s="699" t="s">
        <v>14</v>
      </c>
      <c r="S9" s="700">
        <f t="shared" si="0"/>
        <v>100</v>
      </c>
      <c r="T9" s="699" t="s">
        <v>14</v>
      </c>
      <c r="U9" s="700">
        <f t="shared" si="1"/>
        <v>100</v>
      </c>
      <c r="V9" s="699" t="s">
        <v>14</v>
      </c>
      <c r="W9" s="700">
        <f t="shared" si="2"/>
        <v>100</v>
      </c>
      <c r="X9" s="701"/>
      <c r="Y9" s="3578"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143</v>
      </c>
      <c r="G10" s="383"/>
      <c r="H10" s="127">
        <f>ROUND(100/'数据-取费表'!G16,0)</f>
        <v>143</v>
      </c>
      <c r="I10" s="383"/>
      <c r="J10" s="127">
        <f>ROUND(100/'数据-取费表'!G16,0)</f>
        <v>143</v>
      </c>
      <c r="K10" s="620"/>
      <c r="L10" s="2712"/>
      <c r="M10" s="2713"/>
      <c r="N10" s="2713"/>
      <c r="O10" s="2766"/>
      <c r="P10" s="3697"/>
      <c r="Q10" s="1341" t="str">
        <f t="shared" si="6"/>
        <v>土地使用年限（年）</v>
      </c>
      <c r="R10" s="699" t="s">
        <v>14</v>
      </c>
      <c r="S10" s="700">
        <f t="shared" si="0"/>
        <v>143</v>
      </c>
      <c r="T10" s="699" t="s">
        <v>14</v>
      </c>
      <c r="U10" s="700">
        <f t="shared" si="1"/>
        <v>143</v>
      </c>
      <c r="V10" s="699" t="s">
        <v>14</v>
      </c>
      <c r="W10" s="700">
        <f t="shared" si="2"/>
        <v>143</v>
      </c>
      <c r="X10" s="701"/>
      <c r="Y10" s="3578"/>
      <c r="Z10" s="52" t="str">
        <f t="shared" si="7"/>
        <v>土地使用年限（年）</v>
      </c>
      <c r="AA10" s="702">
        <f t="shared" si="3"/>
        <v>0.69930069930069927</v>
      </c>
      <c r="AB10" s="702">
        <f t="shared" si="4"/>
        <v>0.69930069930069927</v>
      </c>
      <c r="AC10" s="702">
        <f t="shared" si="5"/>
        <v>0.69930069930069927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97"/>
      <c r="Q11" s="1341" t="str">
        <f t="shared" si="6"/>
        <v>容积率</v>
      </c>
      <c r="R11" s="699" t="s">
        <v>14</v>
      </c>
      <c r="S11" s="700" t="e">
        <f t="shared" si="0"/>
        <v>#N/A</v>
      </c>
      <c r="T11" s="699" t="s">
        <v>14</v>
      </c>
      <c r="U11" s="700" t="e">
        <f t="shared" si="1"/>
        <v>#N/A</v>
      </c>
      <c r="V11" s="699" t="s">
        <v>14</v>
      </c>
      <c r="W11" s="700" t="e">
        <f t="shared" si="2"/>
        <v>#N/A</v>
      </c>
      <c r="X11" s="701"/>
      <c r="Y11" s="357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97"/>
      <c r="Q12" s="1341">
        <f t="shared" si="6"/>
        <v>111</v>
      </c>
      <c r="R12" s="699" t="s">
        <v>14</v>
      </c>
      <c r="S12" s="700">
        <f t="shared" si="0"/>
        <v>100</v>
      </c>
      <c r="T12" s="699" t="s">
        <v>14</v>
      </c>
      <c r="U12" s="700">
        <f t="shared" si="1"/>
        <v>100</v>
      </c>
      <c r="V12" s="699" t="s">
        <v>14</v>
      </c>
      <c r="W12" s="700">
        <f t="shared" si="2"/>
        <v>100</v>
      </c>
      <c r="X12" s="701"/>
      <c r="Y12" s="357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97"/>
      <c r="Q13" s="1341">
        <f t="shared" si="6"/>
        <v>111</v>
      </c>
      <c r="R13" s="699" t="s">
        <v>14</v>
      </c>
      <c r="S13" s="700">
        <f t="shared" si="0"/>
        <v>100</v>
      </c>
      <c r="T13" s="699" t="s">
        <v>14</v>
      </c>
      <c r="U13" s="700">
        <f t="shared" si="1"/>
        <v>100</v>
      </c>
      <c r="V13" s="699" t="s">
        <v>14</v>
      </c>
      <c r="W13" s="700">
        <f t="shared" si="2"/>
        <v>100</v>
      </c>
      <c r="X13" s="701"/>
      <c r="Y13" s="357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97"/>
      <c r="Q14" s="1341">
        <f t="shared" si="6"/>
        <v>111</v>
      </c>
      <c r="R14" s="699" t="s">
        <v>14</v>
      </c>
      <c r="S14" s="700">
        <f t="shared" si="0"/>
        <v>100</v>
      </c>
      <c r="T14" s="699" t="s">
        <v>14</v>
      </c>
      <c r="U14" s="700">
        <f t="shared" si="1"/>
        <v>100</v>
      </c>
      <c r="V14" s="699" t="s">
        <v>14</v>
      </c>
      <c r="W14" s="700">
        <f t="shared" si="2"/>
        <v>100</v>
      </c>
      <c r="X14" s="701"/>
      <c r="Y14" s="3578"/>
      <c r="Z14" s="52">
        <f t="shared" si="7"/>
        <v>111</v>
      </c>
      <c r="AA14" s="702">
        <f t="shared" si="3"/>
        <v>1</v>
      </c>
      <c r="AB14" s="702">
        <f t="shared" si="4"/>
        <v>1</v>
      </c>
      <c r="AC14" s="702">
        <f t="shared" si="5"/>
        <v>1</v>
      </c>
    </row>
    <row r="15" spans="1:29" ht="57">
      <c r="A15" s="391" t="s">
        <v>1687</v>
      </c>
      <c r="B15" s="577" t="s">
        <v>1917</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9" t="s">
        <v>1688</v>
      </c>
      <c r="Q15" s="1350" t="str">
        <f t="shared" si="6"/>
        <v>产业集聚程度</v>
      </c>
      <c r="R15" s="703" t="s">
        <v>14</v>
      </c>
      <c r="S15" s="704">
        <f t="shared" si="0"/>
        <v>100</v>
      </c>
      <c r="T15" s="703" t="s">
        <v>14</v>
      </c>
      <c r="U15" s="704">
        <f t="shared" si="1"/>
        <v>100</v>
      </c>
      <c r="V15" s="703" t="s">
        <v>14</v>
      </c>
      <c r="W15" s="704">
        <f t="shared" si="2"/>
        <v>100</v>
      </c>
      <c r="X15" s="1353"/>
      <c r="Y15" s="3699" t="s">
        <v>1688</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00"/>
      <c r="Q16" s="1350"/>
      <c r="R16" s="703"/>
      <c r="S16" s="704"/>
      <c r="T16" s="703"/>
      <c r="U16" s="704"/>
      <c r="V16" s="703"/>
      <c r="W16" s="704"/>
      <c r="X16" s="1353"/>
      <c r="Y16" s="3700"/>
      <c r="Z16" s="1354"/>
      <c r="AA16" s="1351">
        <v>1</v>
      </c>
      <c r="AB16" s="1351">
        <v>1</v>
      </c>
      <c r="AC16" s="1351">
        <v>1</v>
      </c>
    </row>
    <row r="17" spans="1:29" ht="85.5">
      <c r="A17" s="379"/>
      <c r="B17" s="579" t="s">
        <v>1830</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00"/>
      <c r="Q17" s="1350" t="str">
        <f>B17</f>
        <v>交通便捷度</v>
      </c>
      <c r="R17" s="703" t="s">
        <v>14</v>
      </c>
      <c r="S17" s="704">
        <f>F17</f>
        <v>100</v>
      </c>
      <c r="T17" s="703" t="s">
        <v>14</v>
      </c>
      <c r="U17" s="704">
        <f>H17</f>
        <v>100</v>
      </c>
      <c r="V17" s="703" t="s">
        <v>14</v>
      </c>
      <c r="W17" s="704">
        <f>J17</f>
        <v>100</v>
      </c>
      <c r="X17" s="1353"/>
      <c r="Y17" s="370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00"/>
      <c r="Q18" s="1350"/>
      <c r="R18" s="703"/>
      <c r="S18" s="704"/>
      <c r="T18" s="703"/>
      <c r="U18" s="704"/>
      <c r="V18" s="703"/>
      <c r="W18" s="704"/>
      <c r="X18" s="1353"/>
      <c r="Y18" s="3700"/>
      <c r="Z18" s="1354"/>
      <c r="AA18" s="1351">
        <v>1</v>
      </c>
      <c r="AB18" s="1351">
        <v>1</v>
      </c>
      <c r="AC18" s="1351">
        <v>1</v>
      </c>
    </row>
    <row r="19" spans="1:29" ht="15">
      <c r="A19" s="379"/>
      <c r="B19" s="579"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00"/>
      <c r="Q19" s="1350" t="str">
        <f t="shared" ref="Q19:Q33" si="8">B19</f>
        <v>区域土地利用方向</v>
      </c>
      <c r="R19" s="703" t="s">
        <v>14</v>
      </c>
      <c r="S19" s="704">
        <f>F19</f>
        <v>100</v>
      </c>
      <c r="T19" s="703" t="s">
        <v>14</v>
      </c>
      <c r="U19" s="704">
        <f>H19</f>
        <v>100</v>
      </c>
      <c r="V19" s="703" t="s">
        <v>14</v>
      </c>
      <c r="W19" s="704">
        <f>J19</f>
        <v>100</v>
      </c>
      <c r="X19" s="1353"/>
      <c r="Y19" s="370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00"/>
      <c r="Q20" s="1350"/>
      <c r="R20" s="703"/>
      <c r="S20" s="704"/>
      <c r="T20" s="703"/>
      <c r="U20" s="704"/>
      <c r="V20" s="703"/>
      <c r="W20" s="704"/>
      <c r="X20" s="1353"/>
      <c r="Y20" s="3700"/>
      <c r="Z20" s="1354"/>
      <c r="AA20" s="1351"/>
      <c r="AB20" s="1351"/>
      <c r="AC20" s="1351"/>
    </row>
    <row r="21" spans="1:29" ht="71.25">
      <c r="A21" s="358"/>
      <c r="B21" s="579" t="s">
        <v>1918</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00"/>
      <c r="Q21" s="1350" t="str">
        <f t="shared" si="8"/>
        <v>环境状况</v>
      </c>
      <c r="R21" s="703" t="s">
        <v>14</v>
      </c>
      <c r="S21" s="704">
        <f>F21</f>
        <v>100</v>
      </c>
      <c r="T21" s="703" t="s">
        <v>14</v>
      </c>
      <c r="U21" s="704">
        <f>H21</f>
        <v>100</v>
      </c>
      <c r="V21" s="703" t="s">
        <v>14</v>
      </c>
      <c r="W21" s="704">
        <f>J21</f>
        <v>100</v>
      </c>
      <c r="X21" s="1353"/>
      <c r="Y21" s="370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00"/>
      <c r="Q22" s="1350"/>
      <c r="R22" s="703"/>
      <c r="S22" s="704"/>
      <c r="T22" s="703"/>
      <c r="U22" s="704"/>
      <c r="V22" s="703"/>
      <c r="W22" s="704"/>
      <c r="X22" s="1353"/>
      <c r="Y22" s="3700"/>
      <c r="Z22" s="1354"/>
      <c r="AA22" s="1351">
        <v>1</v>
      </c>
      <c r="AB22" s="1351">
        <v>1</v>
      </c>
      <c r="AC22" s="1351">
        <v>1</v>
      </c>
    </row>
    <row r="23" spans="1:29" s="108" customFormat="1" ht="42.75">
      <c r="A23" s="597"/>
      <c r="B23" s="581" t="s">
        <v>1775</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00"/>
      <c r="Q23" s="1341" t="str">
        <f t="shared" si="8"/>
        <v>公共配套设施</v>
      </c>
      <c r="R23" s="699" t="s">
        <v>14</v>
      </c>
      <c r="S23" s="700">
        <f>F23</f>
        <v>100</v>
      </c>
      <c r="T23" s="699" t="s">
        <v>14</v>
      </c>
      <c r="U23" s="700">
        <f>H23</f>
        <v>100</v>
      </c>
      <c r="V23" s="699" t="s">
        <v>14</v>
      </c>
      <c r="W23" s="700">
        <f>J23</f>
        <v>100</v>
      </c>
      <c r="X23" s="701"/>
      <c r="Y23" s="370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00"/>
      <c r="Q24" s="1341"/>
      <c r="R24" s="699"/>
      <c r="S24" s="700"/>
      <c r="T24" s="699"/>
      <c r="U24" s="700"/>
      <c r="V24" s="699"/>
      <c r="W24" s="700"/>
      <c r="X24" s="701"/>
      <c r="Y24" s="3700"/>
      <c r="Z24" s="52"/>
      <c r="AA24" s="702">
        <v>1</v>
      </c>
      <c r="AB24" s="702">
        <v>1</v>
      </c>
      <c r="AC24" s="702">
        <v>1</v>
      </c>
    </row>
    <row r="25" spans="1:29" s="108" customFormat="1" ht="28.5">
      <c r="A25" s="597"/>
      <c r="B25" s="581" t="s">
        <v>1776</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00"/>
      <c r="Q25" s="1341" t="str">
        <f t="shared" ref="Q25" si="9">B25</f>
        <v>基础设施水平</v>
      </c>
      <c r="R25" s="699" t="s">
        <v>14</v>
      </c>
      <c r="S25" s="700">
        <f>F25</f>
        <v>100</v>
      </c>
      <c r="T25" s="699" t="s">
        <v>14</v>
      </c>
      <c r="U25" s="700">
        <f>H25</f>
        <v>100</v>
      </c>
      <c r="V25" s="699" t="s">
        <v>14</v>
      </c>
      <c r="W25" s="700">
        <f>J25</f>
        <v>100</v>
      </c>
      <c r="X25" s="701"/>
      <c r="Y25" s="370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00"/>
      <c r="Q26" s="1341"/>
      <c r="R26" s="699"/>
      <c r="S26" s="700"/>
      <c r="T26" s="699"/>
      <c r="U26" s="700"/>
      <c r="V26" s="699"/>
      <c r="W26" s="700"/>
      <c r="X26" s="701"/>
      <c r="Y26" s="3700"/>
      <c r="Z26" s="52"/>
      <c r="AA26" s="702">
        <v>1</v>
      </c>
      <c r="AB26" s="702">
        <v>1</v>
      </c>
      <c r="AC26" s="702">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0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0"/>
      <c r="Z27" s="1354" t="str">
        <f t="shared" ref="Z27:Z40" si="13">Q27</f>
        <v>临街状况</v>
      </c>
      <c r="AA27" s="1351">
        <f t="shared" si="3"/>
        <v>1</v>
      </c>
      <c r="AB27" s="1351">
        <f t="shared" si="4"/>
        <v>1</v>
      </c>
      <c r="AC27" s="1351">
        <f t="shared" si="5"/>
        <v>1</v>
      </c>
    </row>
    <row r="28" spans="1:29" ht="27">
      <c r="A28" s="379"/>
      <c r="B28" s="581" t="s">
        <v>1812</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00"/>
      <c r="Q28" s="1350" t="str">
        <f t="shared" si="8"/>
        <v>毗邻道路的类型与等级</v>
      </c>
      <c r="R28" s="703" t="s">
        <v>14</v>
      </c>
      <c r="S28" s="704">
        <f t="shared" si="10"/>
        <v>100</v>
      </c>
      <c r="T28" s="703" t="s">
        <v>14</v>
      </c>
      <c r="U28" s="704">
        <f t="shared" si="11"/>
        <v>100</v>
      </c>
      <c r="V28" s="703" t="s">
        <v>14</v>
      </c>
      <c r="W28" s="704">
        <f t="shared" si="12"/>
        <v>100</v>
      </c>
      <c r="X28" s="1353"/>
      <c r="Y28" s="370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00"/>
      <c r="Q29" s="1350"/>
      <c r="R29" s="703"/>
      <c r="S29" s="704"/>
      <c r="T29" s="703"/>
      <c r="U29" s="704"/>
      <c r="V29" s="703"/>
      <c r="W29" s="704"/>
      <c r="X29" s="1353"/>
      <c r="Y29" s="3700"/>
      <c r="Z29" s="1354"/>
      <c r="AA29" s="1351">
        <v>1</v>
      </c>
      <c r="AB29" s="1351">
        <v>1</v>
      </c>
      <c r="AC29" s="1351">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00"/>
      <c r="Q30" s="1350" t="str">
        <f t="shared" si="8"/>
        <v>土地级别</v>
      </c>
      <c r="R30" s="703" t="s">
        <v>14</v>
      </c>
      <c r="S30" s="704">
        <f t="shared" si="10"/>
        <v>100</v>
      </c>
      <c r="T30" s="703" t="s">
        <v>14</v>
      </c>
      <c r="U30" s="704">
        <f t="shared" si="11"/>
        <v>100</v>
      </c>
      <c r="V30" s="703" t="s">
        <v>14</v>
      </c>
      <c r="W30" s="704">
        <f t="shared" si="12"/>
        <v>100</v>
      </c>
      <c r="X30" s="1353"/>
      <c r="Y30" s="370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00"/>
      <c r="Q31" s="1350">
        <f t="shared" si="8"/>
        <v>111</v>
      </c>
      <c r="R31" s="703" t="s">
        <v>14</v>
      </c>
      <c r="S31" s="704">
        <f t="shared" si="10"/>
        <v>100</v>
      </c>
      <c r="T31" s="703" t="s">
        <v>14</v>
      </c>
      <c r="U31" s="704">
        <f t="shared" si="11"/>
        <v>100</v>
      </c>
      <c r="V31" s="703" t="s">
        <v>14</v>
      </c>
      <c r="W31" s="704">
        <f t="shared" si="12"/>
        <v>100</v>
      </c>
      <c r="X31" s="1353"/>
      <c r="Y31" s="370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56" t="s">
        <v>1693</v>
      </c>
      <c r="Q32" s="1350">
        <f t="shared" si="8"/>
        <v>111</v>
      </c>
      <c r="R32" s="703" t="s">
        <v>14</v>
      </c>
      <c r="S32" s="704">
        <f t="shared" si="10"/>
        <v>100</v>
      </c>
      <c r="T32" s="703" t="s">
        <v>14</v>
      </c>
      <c r="U32" s="704">
        <f t="shared" si="11"/>
        <v>100</v>
      </c>
      <c r="V32" s="703" t="s">
        <v>14</v>
      </c>
      <c r="W32" s="704">
        <f t="shared" si="12"/>
        <v>100</v>
      </c>
      <c r="X32" s="1353"/>
      <c r="Y32" s="3704" t="s">
        <v>1693</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4"/>
      <c r="Q33" s="1350">
        <f t="shared" si="8"/>
        <v>111</v>
      </c>
      <c r="R33" s="706" t="s">
        <v>14</v>
      </c>
      <c r="S33" s="707">
        <f t="shared" si="10"/>
        <v>100</v>
      </c>
      <c r="T33" s="706" t="s">
        <v>14</v>
      </c>
      <c r="U33" s="707">
        <f t="shared" si="11"/>
        <v>100</v>
      </c>
      <c r="V33" s="706" t="s">
        <v>14</v>
      </c>
      <c r="W33" s="707">
        <f t="shared" si="12"/>
        <v>100</v>
      </c>
      <c r="X33" s="708"/>
      <c r="Y33" s="3704"/>
      <c r="Z33" s="709">
        <f t="shared" si="13"/>
        <v>111</v>
      </c>
      <c r="AA33" s="1351">
        <f t="shared" si="3"/>
        <v>1</v>
      </c>
      <c r="AB33" s="1351">
        <f t="shared" si="4"/>
        <v>1</v>
      </c>
      <c r="AC33" s="1351">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4"/>
      <c r="Q34" s="1350" t="str">
        <f>B34</f>
        <v>宗地面积</v>
      </c>
      <c r="R34" s="703" t="s">
        <v>14</v>
      </c>
      <c r="S34" s="704" t="e">
        <f t="shared" si="10"/>
        <v>#N/A</v>
      </c>
      <c r="T34" s="703" t="s">
        <v>14</v>
      </c>
      <c r="U34" s="704" t="e">
        <f t="shared" si="11"/>
        <v>#N/A</v>
      </c>
      <c r="V34" s="703" t="s">
        <v>14</v>
      </c>
      <c r="W34" s="704" t="e">
        <f t="shared" si="12"/>
        <v>#N/A</v>
      </c>
      <c r="X34" s="1353"/>
      <c r="Y34" s="3704"/>
      <c r="Z34" s="1354" t="str">
        <f t="shared" si="13"/>
        <v>宗地面积</v>
      </c>
      <c r="AA34" s="1351" t="e">
        <f t="shared" si="3"/>
        <v>#N/A</v>
      </c>
      <c r="AB34" s="1351" t="e">
        <f t="shared" si="4"/>
        <v>#N/A</v>
      </c>
      <c r="AC34" s="1351"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04"/>
      <c r="Q35" s="1350" t="str">
        <f t="shared" ref="Q35:Q40" si="14">B35</f>
        <v>宗地形状</v>
      </c>
      <c r="R35" s="703" t="s">
        <v>14</v>
      </c>
      <c r="S35" s="704">
        <f t="shared" si="10"/>
        <v>100</v>
      </c>
      <c r="T35" s="703" t="s">
        <v>14</v>
      </c>
      <c r="U35" s="704">
        <f t="shared" si="11"/>
        <v>100</v>
      </c>
      <c r="V35" s="703" t="s">
        <v>14</v>
      </c>
      <c r="W35" s="704">
        <f t="shared" si="12"/>
        <v>100</v>
      </c>
      <c r="X35" s="1353"/>
      <c r="Y35" s="3704"/>
      <c r="Z35" s="1354" t="str">
        <f t="shared" si="13"/>
        <v>宗地形状</v>
      </c>
      <c r="AA35" s="1351">
        <f t="shared" si="3"/>
        <v>1</v>
      </c>
      <c r="AB35" s="1351">
        <f t="shared" si="4"/>
        <v>1</v>
      </c>
      <c r="AC35" s="1351">
        <f t="shared" si="5"/>
        <v>1</v>
      </c>
    </row>
    <row r="36" spans="1:31" s="108" customFormat="1" ht="15">
      <c r="A36" s="424"/>
      <c r="B36" s="375" t="s">
        <v>1874</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04"/>
      <c r="Q36" s="1350"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04" t="s">
        <v>1693</v>
      </c>
      <c r="Q37" s="1350" t="str">
        <f t="shared" si="14"/>
        <v>工程地质条件</v>
      </c>
      <c r="R37" s="703" t="s">
        <v>14</v>
      </c>
      <c r="S37" s="704">
        <f t="shared" si="10"/>
        <v>100</v>
      </c>
      <c r="T37" s="703" t="s">
        <v>14</v>
      </c>
      <c r="U37" s="704">
        <f t="shared" si="11"/>
        <v>100</v>
      </c>
      <c r="V37" s="703" t="s">
        <v>14</v>
      </c>
      <c r="W37" s="704">
        <f t="shared" si="12"/>
        <v>100</v>
      </c>
      <c r="X37" s="1353"/>
      <c r="Y37" s="3704" t="s">
        <v>1693</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4"/>
      <c r="Q38" s="1350">
        <f t="shared" si="14"/>
        <v>111</v>
      </c>
      <c r="R38" s="703" t="s">
        <v>14</v>
      </c>
      <c r="S38" s="704">
        <f t="shared" si="10"/>
        <v>100</v>
      </c>
      <c r="T38" s="703" t="s">
        <v>14</v>
      </c>
      <c r="U38" s="704">
        <f t="shared" si="11"/>
        <v>100</v>
      </c>
      <c r="V38" s="703" t="s">
        <v>14</v>
      </c>
      <c r="W38" s="704">
        <f t="shared" si="12"/>
        <v>100</v>
      </c>
      <c r="X38" s="1353"/>
      <c r="Y38" s="370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4"/>
      <c r="Q39" s="1350">
        <f t="shared" si="14"/>
        <v>111</v>
      </c>
      <c r="R39" s="703" t="s">
        <v>14</v>
      </c>
      <c r="S39" s="704">
        <f t="shared" si="10"/>
        <v>100</v>
      </c>
      <c r="T39" s="703" t="s">
        <v>14</v>
      </c>
      <c r="U39" s="704">
        <f t="shared" si="11"/>
        <v>100</v>
      </c>
      <c r="V39" s="703" t="s">
        <v>14</v>
      </c>
      <c r="W39" s="704">
        <f t="shared" si="12"/>
        <v>100</v>
      </c>
      <c r="X39" s="1353"/>
      <c r="Y39" s="370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4"/>
      <c r="Q40" s="1350">
        <f t="shared" si="14"/>
        <v>111</v>
      </c>
      <c r="R40" s="706" t="s">
        <v>14</v>
      </c>
      <c r="S40" s="707">
        <f t="shared" si="10"/>
        <v>100</v>
      </c>
      <c r="T40" s="706" t="s">
        <v>14</v>
      </c>
      <c r="U40" s="707">
        <f t="shared" si="11"/>
        <v>100</v>
      </c>
      <c r="V40" s="706" t="s">
        <v>14</v>
      </c>
      <c r="W40" s="707">
        <f t="shared" si="12"/>
        <v>100</v>
      </c>
      <c r="X40" s="708"/>
      <c r="Y40" s="3704"/>
      <c r="Z40" s="709">
        <f t="shared" si="13"/>
        <v>111</v>
      </c>
      <c r="AA40" s="1351">
        <f t="shared" si="3"/>
        <v>1</v>
      </c>
      <c r="AB40" s="1351">
        <f t="shared" si="4"/>
        <v>1</v>
      </c>
      <c r="AC40" s="1351">
        <f t="shared" si="5"/>
        <v>1</v>
      </c>
    </row>
    <row r="41" spans="1:31" ht="15">
      <c r="A41" s="430" t="s">
        <v>1841</v>
      </c>
      <c r="B41" s="1980" t="s">
        <v>1919</v>
      </c>
      <c r="C41" s="630" t="s">
        <v>0</v>
      </c>
      <c r="D41" s="432"/>
      <c r="E41" s="433"/>
      <c r="F41" s="434"/>
      <c r="G41" s="435"/>
      <c r="H41" s="436"/>
      <c r="I41" s="433"/>
      <c r="J41" s="436"/>
      <c r="K41" s="712"/>
      <c r="L41" s="2717"/>
      <c r="M41" s="2709"/>
      <c r="N41" s="2709"/>
      <c r="O41" s="2718"/>
      <c r="P41" s="3697" t="str">
        <f>A41</f>
        <v>成交单价</v>
      </c>
      <c r="Q41" s="3697"/>
      <c r="R41" s="3728">
        <f>E41</f>
        <v>0</v>
      </c>
      <c r="S41" s="3728"/>
      <c r="T41" s="3728">
        <f>G41</f>
        <v>0</v>
      </c>
      <c r="U41" s="3728"/>
      <c r="V41" s="3728">
        <f>I41</f>
        <v>0</v>
      </c>
      <c r="W41" s="3728"/>
      <c r="X41" s="688"/>
      <c r="Y41" s="710"/>
      <c r="Z41" s="688"/>
      <c r="AA41" s="688"/>
      <c r="AB41" s="688"/>
      <c r="AC41" s="688"/>
    </row>
    <row r="42" spans="1:31" ht="15.75" thickBot="1">
      <c r="A42" s="437" t="s">
        <v>1790</v>
      </c>
      <c r="B42" s="631"/>
      <c r="C42" s="440" t="e">
        <f>R43</f>
        <v>#DIV/0!</v>
      </c>
      <c r="D42" s="2315" t="s">
        <v>2133</v>
      </c>
      <c r="E42" s="440" t="e">
        <f>R42</f>
        <v>#DIV/0!</v>
      </c>
      <c r="F42" s="2316"/>
      <c r="G42" s="439" t="e">
        <f>T42</f>
        <v>#DIV/0!</v>
      </c>
      <c r="H42" s="2316"/>
      <c r="I42" s="440" t="e">
        <f>V42</f>
        <v>#DIV/0!</v>
      </c>
      <c r="J42" s="2316"/>
      <c r="K42" s="2318">
        <f>F42+H42+J42</f>
        <v>0</v>
      </c>
      <c r="L42" s="2717"/>
      <c r="M42" s="2709"/>
      <c r="N42" s="2709"/>
      <c r="O42" s="2718"/>
      <c r="P42" s="3697" t="str">
        <f>A42</f>
        <v>比较价值（元/平方米）</v>
      </c>
      <c r="Q42" s="3697"/>
      <c r="R42" s="3758" t="e">
        <f>ROUND(PRODUCT(R41,AA7:AA40),0)</f>
        <v>#DIV/0!</v>
      </c>
      <c r="S42" s="3758"/>
      <c r="T42" s="3758" t="e">
        <f>ROUND(PRODUCT(T41,AB7:AB40),0)</f>
        <v>#DIV/0!</v>
      </c>
      <c r="U42" s="3758"/>
      <c r="V42" s="3758" t="e">
        <f>ROUND(PRODUCT(V41,AC7:AC40),0)</f>
        <v>#DIV/0!</v>
      </c>
      <c r="W42" s="3758"/>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17"/>
      <c r="M43" s="2709"/>
      <c r="N43" s="2709"/>
      <c r="O43" s="2718"/>
      <c r="P43" s="3694" t="str">
        <f>A43</f>
        <v>估价对象XX用房的比较价值（楼面单价，元/平方米）</v>
      </c>
      <c r="Q43" s="3695"/>
      <c r="R43" s="3759" t="e">
        <f>ROUND(IF(D42="简单平均",AVERAGE(R42:W42),R42*F42+T42*H42+V42*J42),0)</f>
        <v>#DIV/0!</v>
      </c>
      <c r="S43" s="3759"/>
      <c r="T43" s="3759"/>
      <c r="U43" s="3759"/>
      <c r="V43" s="3759"/>
      <c r="W43" s="3759"/>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1878</v>
      </c>
      <c r="B50" s="633" t="s">
        <v>1879</v>
      </c>
      <c r="C50" s="1981" t="s">
        <v>1880</v>
      </c>
      <c r="D50" s="1982" t="s">
        <v>1881</v>
      </c>
      <c r="E50" s="634" t="s">
        <v>1882</v>
      </c>
      <c r="F50" s="635" t="s">
        <v>1883</v>
      </c>
      <c r="G50" s="3712" t="s">
        <v>1884</v>
      </c>
      <c r="H50" s="3760"/>
      <c r="I50" s="1354" t="s">
        <v>1920</v>
      </c>
      <c r="J50" s="1354">
        <f>项目基本情况!F35</f>
        <v>0</v>
      </c>
      <c r="K50" s="1984" t="s">
        <v>1886</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1887</v>
      </c>
      <c r="B51" s="637" t="e">
        <f>C43</f>
        <v>#DIV/0!</v>
      </c>
      <c r="C51" s="638">
        <v>1</v>
      </c>
      <c r="D51" s="942">
        <v>1</v>
      </c>
      <c r="E51" s="638">
        <f>'数据-汇总表'!E8+'数据-汇总表'!E9</f>
        <v>3455.7</v>
      </c>
      <c r="F51" s="639" t="e">
        <f t="shared" ref="F51:F60" si="15">ROUND(B51*E51/10000,0)</f>
        <v>#DIV/0!</v>
      </c>
      <c r="G51" s="3708"/>
      <c r="H51" s="3697"/>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1888</v>
      </c>
      <c r="B52" s="218" t="e">
        <f>ROUND($C$43*C52*D52,0)</f>
        <v>#DIV/0!</v>
      </c>
      <c r="C52" s="171">
        <f t="shared" ref="C52:C60" si="16">IF($C$50="北京市系数",I52,J52)</f>
        <v>0</v>
      </c>
      <c r="D52" s="943">
        <v>0.25</v>
      </c>
      <c r="E52" s="642"/>
      <c r="F52" s="639" t="e">
        <f t="shared" si="15"/>
        <v>#DIV/0!</v>
      </c>
      <c r="G52" s="2999" t="s">
        <v>1889</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1890</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1891</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1892</v>
      </c>
      <c r="B56" s="218" t="e">
        <f t="shared" si="17"/>
        <v>#DIV/0!</v>
      </c>
      <c r="C56" s="171">
        <f t="shared" si="16"/>
        <v>0.3</v>
      </c>
      <c r="D56" s="943">
        <v>0.25</v>
      </c>
      <c r="E56" s="217">
        <f>'数据-汇总表'!E11</f>
        <v>0</v>
      </c>
      <c r="F56" s="639" t="e">
        <f t="shared" si="15"/>
        <v>#DIV/0!</v>
      </c>
      <c r="G56" s="1985" t="s">
        <v>1893</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1894</v>
      </c>
      <c r="B57" s="218" t="e">
        <f t="shared" si="17"/>
        <v>#DIV/0!</v>
      </c>
      <c r="C57" s="171">
        <f t="shared" si="16"/>
        <v>0.3</v>
      </c>
      <c r="D57" s="943">
        <v>0.25</v>
      </c>
      <c r="E57" s="217">
        <f>'数据-汇总表'!E12</f>
        <v>0</v>
      </c>
      <c r="F57" s="639" t="e">
        <f t="shared" si="15"/>
        <v>#DIV/0!</v>
      </c>
      <c r="G57" s="890" t="s">
        <v>1895</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1896</v>
      </c>
      <c r="B58" s="218" t="e">
        <f t="shared" si="17"/>
        <v>#DIV/0!</v>
      </c>
      <c r="C58" s="171">
        <f t="shared" si="16"/>
        <v>0</v>
      </c>
      <c r="D58" s="943">
        <v>0.25</v>
      </c>
      <c r="E58" s="217">
        <f>'数据-汇总表'!E13</f>
        <v>0</v>
      </c>
      <c r="F58" s="639" t="e">
        <f t="shared" si="15"/>
        <v>#DIV/0!</v>
      </c>
      <c r="G58" s="890" t="s">
        <v>1897</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1898</v>
      </c>
      <c r="B59" s="218" t="e">
        <f t="shared" si="17"/>
        <v>#DIV/0!</v>
      </c>
      <c r="C59" s="171">
        <f t="shared" si="16"/>
        <v>0</v>
      </c>
      <c r="D59" s="943">
        <v>0.25</v>
      </c>
      <c r="E59" s="217">
        <f>'数据-汇总表'!E14</f>
        <v>0</v>
      </c>
      <c r="F59" s="639" t="e">
        <f t="shared" si="15"/>
        <v>#DIV/0!</v>
      </c>
      <c r="G59" s="1985" t="s">
        <v>1889</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1899</v>
      </c>
      <c r="B60" s="218" t="e">
        <f t="shared" si="17"/>
        <v>#DIV/0!</v>
      </c>
      <c r="C60" s="171">
        <f t="shared" si="16"/>
        <v>0.2</v>
      </c>
      <c r="D60" s="943">
        <v>0.25</v>
      </c>
      <c r="E60" s="217">
        <f>'数据-汇总表'!E15</f>
        <v>0</v>
      </c>
      <c r="F60" s="639" t="e">
        <f t="shared" si="15"/>
        <v>#DIV/0!</v>
      </c>
      <c r="G60" s="1986" t="s">
        <v>1893</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1900</v>
      </c>
      <c r="B61" s="644" t="s">
        <v>22</v>
      </c>
      <c r="C61" s="644" t="s">
        <v>23</v>
      </c>
      <c r="D61" s="644" t="s">
        <v>392</v>
      </c>
      <c r="E61" s="644">
        <f>IF(B41="楼面地价",SUM(E51:E60),'数据-汇总表'!D3)</f>
        <v>396.01</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2023-4-1</v>
      </c>
      <c r="D63" s="690">
        <f>EDATE(C63,-3)</f>
        <v>44927</v>
      </c>
      <c r="E63" s="690">
        <f>EDATE(D63,-3)</f>
        <v>44835</v>
      </c>
      <c r="F63" s="690">
        <f t="shared" ref="F63:O63" si="18">EDATE(E63,-3)</f>
        <v>44743</v>
      </c>
      <c r="G63" s="690">
        <f t="shared" si="18"/>
        <v>44652</v>
      </c>
      <c r="H63" s="690">
        <f t="shared" si="18"/>
        <v>44562</v>
      </c>
      <c r="I63" s="690">
        <f t="shared" si="18"/>
        <v>44470</v>
      </c>
      <c r="J63" s="690">
        <f t="shared" si="18"/>
        <v>44378</v>
      </c>
      <c r="K63" s="690">
        <f t="shared" si="18"/>
        <v>44287</v>
      </c>
      <c r="L63" s="690">
        <f t="shared" si="18"/>
        <v>44197</v>
      </c>
      <c r="M63" s="690">
        <f t="shared" si="18"/>
        <v>44105</v>
      </c>
      <c r="N63" s="690">
        <f t="shared" si="18"/>
        <v>44013</v>
      </c>
      <c r="O63" s="690">
        <f t="shared" si="18"/>
        <v>43922</v>
      </c>
      <c r="P63" s="2718"/>
      <c r="Q63" s="2718"/>
      <c r="R63" s="2718"/>
      <c r="S63" s="2718"/>
      <c r="T63" s="2718"/>
      <c r="U63" s="2718"/>
      <c r="V63" s="2718"/>
      <c r="W63" s="2718"/>
      <c r="X63" s="2718"/>
      <c r="Y63" s="2718"/>
      <c r="Z63" s="2718"/>
      <c r="AA63" s="2718"/>
      <c r="AB63" s="2718"/>
      <c r="AC63" s="2718"/>
      <c r="AD63" s="2718"/>
      <c r="AE63" s="2718"/>
    </row>
    <row r="64" spans="1:31" ht="21.75" thickBot="1">
      <c r="A64" s="692" t="s">
        <v>1795</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1901</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1713</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1678</v>
      </c>
      <c r="B68" s="459"/>
      <c r="C68" s="471" t="s">
        <v>1773</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1716</v>
      </c>
      <c r="B70" s="477" t="s">
        <v>1682</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1685</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1687</v>
      </c>
      <c r="B83" s="477" t="s">
        <v>1826</v>
      </c>
      <c r="C83" s="522" t="s">
        <v>1718</v>
      </c>
      <c r="D83" s="522" t="s">
        <v>1719</v>
      </c>
      <c r="E83" s="522" t="s">
        <v>1720</v>
      </c>
      <c r="F83" s="522" t="s">
        <v>1721</v>
      </c>
      <c r="G83" s="522" t="s">
        <v>1722</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1723</v>
      </c>
      <c r="C85" s="527" t="s">
        <v>1718</v>
      </c>
      <c r="D85" s="527" t="s">
        <v>1719</v>
      </c>
      <c r="E85" s="527" t="s">
        <v>1720</v>
      </c>
      <c r="F85" s="527" t="s">
        <v>1721</v>
      </c>
      <c r="G85" s="527" t="s">
        <v>1722</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1812</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1870</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1914</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6"/>
      <c r="G1" s="2786"/>
      <c r="H1" s="2786"/>
      <c r="I1" s="2786"/>
      <c r="J1" s="2786"/>
      <c r="K1" s="2786"/>
      <c r="L1" s="2786"/>
      <c r="M1" s="2786"/>
      <c r="N1" s="2786"/>
      <c r="O1" s="2786"/>
      <c r="P1" s="2786"/>
    </row>
    <row r="2" spans="1:16" ht="15.75">
      <c r="A2" s="2143" t="s">
        <v>2070</v>
      </c>
      <c r="B2" s="2596" t="e">
        <f ca="1">SUMIF(B6:B13,"&lt;&gt;#ref!",B6:B13)</f>
        <v>#DIV/0!</v>
      </c>
      <c r="C2" s="2143" t="s">
        <v>2071</v>
      </c>
      <c r="D2" s="2143" t="s">
        <v>2072</v>
      </c>
      <c r="E2" s="2606">
        <f ca="1">SUMIF(E6:E13,"&lt;&gt;#ref!",E6:E13)</f>
        <v>0</v>
      </c>
      <c r="F2" s="2786"/>
      <c r="G2" s="2786"/>
      <c r="H2" s="2786"/>
      <c r="I2" s="2786"/>
      <c r="J2" s="2786"/>
      <c r="K2" s="2786"/>
      <c r="L2" s="2786"/>
      <c r="M2" s="2786"/>
      <c r="N2" s="2786"/>
      <c r="O2" s="2786"/>
      <c r="P2" s="2786"/>
    </row>
    <row r="3" spans="1:16" ht="15.75">
      <c r="A3" s="2143" t="s">
        <v>2073</v>
      </c>
      <c r="B3" s="2596" t="e">
        <f ca="1">ROUND(B2*10000/E2,0)</f>
        <v>#DIV/0!</v>
      </c>
      <c r="C3" s="2143" t="s">
        <v>2079</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2074</v>
      </c>
      <c r="B5" s="2604" t="s">
        <v>2075</v>
      </c>
      <c r="C5" s="2144"/>
      <c r="D5" s="2786"/>
      <c r="E5" s="2605" t="s">
        <v>2076</v>
      </c>
      <c r="F5" s="2786"/>
      <c r="G5" s="2786"/>
      <c r="H5" s="2786"/>
      <c r="I5" s="2786"/>
      <c r="J5" s="2786"/>
      <c r="K5" s="2786"/>
      <c r="L5" s="2786"/>
      <c r="M5" s="2786"/>
      <c r="N5" s="2786"/>
      <c r="O5" s="2786"/>
      <c r="P5" s="2786"/>
    </row>
    <row r="6" spans="1:16" ht="15.75">
      <c r="A6" s="2603" t="s">
        <v>2077</v>
      </c>
      <c r="B6" s="2596" t="e">
        <f ca="1">SUMIF(INDIRECT("'"&amp;A6&amp;"'"&amp;"!A:A"),"总价",INDIRECT("'"&amp;A6&amp;"'"&amp;"!B:B"))</f>
        <v>#DIV/0!</v>
      </c>
      <c r="C6" s="2143" t="s">
        <v>2071</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2071</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2071</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2071</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2071</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2071</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2071</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2071</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1923</v>
      </c>
      <c r="B1" s="197"/>
      <c r="C1" s="201" t="s">
        <v>1924</v>
      </c>
      <c r="D1" s="342">
        <f>SUM(D33:D34,D37:D42)</f>
        <v>0</v>
      </c>
      <c r="E1" s="1993"/>
      <c r="F1" s="1993"/>
      <c r="G1" s="1993"/>
      <c r="H1" s="1993"/>
      <c r="I1" s="1993"/>
      <c r="J1" s="1993"/>
      <c r="K1" s="1117"/>
      <c r="L1" s="1994" t="s">
        <v>1925</v>
      </c>
      <c r="M1" s="861">
        <f>SUMPRODUCT((区片价!B5:B9=I2)*(区片价!C3:G3=E2)*(区片价!C5:G9))</f>
        <v>0</v>
      </c>
      <c r="N1" s="864">
        <f>SUMPRODUCT((因素修正幅度!B5:B9=I2)*(因素修正幅度!C3:G3=E2)*(因素修正幅度!C5:G9))</f>
        <v>0</v>
      </c>
      <c r="O1" s="1995"/>
      <c r="P1" s="1995"/>
      <c r="Q1" s="1117"/>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t="e">
        <f>C30</f>
        <v>#DIV/0!</v>
      </c>
      <c r="C2" s="1997" t="s">
        <v>1932</v>
      </c>
      <c r="D2" s="1998" t="s">
        <v>1933</v>
      </c>
      <c r="E2" s="3417"/>
      <c r="F2" s="1998" t="s">
        <v>1934</v>
      </c>
      <c r="G2" s="1999">
        <f>IF(E2="商业",项目基本情况!B37,IF(E2="办公",项目基本情况!C37,IF(E2="住宅",项目基本情况!D37,IF(E2="工业",项目基本情况!E37,项目基本情况!F37))))</f>
        <v>0</v>
      </c>
      <c r="H2" s="1998" t="s">
        <v>1935</v>
      </c>
      <c r="I2" s="1999">
        <f>IF(E2="商业",项目基本情况!B38,IF(E2="办公",项目基本情况!C38,IF(E2="住宅",项目基本情况!D38,IF(E2="工业",项目基本情况!E38,项目基本情况!F38))))</f>
        <v>0</v>
      </c>
      <c r="J2" s="2000"/>
      <c r="K2" s="1117"/>
      <c r="L2" s="2001" t="s">
        <v>1936</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1937</v>
      </c>
      <c r="B3" s="204" t="e">
        <f>ROUND(B2*10000/D1,0)</f>
        <v>#DIV/0!</v>
      </c>
      <c r="C3" s="1997" t="s">
        <v>1938</v>
      </c>
      <c r="D3" s="1998" t="s">
        <v>1939</v>
      </c>
      <c r="E3" s="3415"/>
      <c r="F3" s="2002"/>
      <c r="G3" s="750">
        <f>IF(F3="宗地容积率",'数据-汇总表'!I4,IF(F3="估价对象容积率",'数据-汇总表'!I6,'数据-汇总表'!I7))</f>
        <v>0</v>
      </c>
      <c r="H3" s="170" t="s">
        <v>1940</v>
      </c>
      <c r="I3" s="773"/>
      <c r="J3" s="2000" t="s">
        <v>1941</v>
      </c>
      <c r="K3" s="1117"/>
      <c r="L3" s="2001" t="s">
        <v>1942</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2"/>
      <c r="B4" s="3773"/>
      <c r="C4" s="3773"/>
      <c r="D4" s="3774"/>
      <c r="E4" s="3774"/>
      <c r="F4" s="3774"/>
      <c r="G4" s="3774"/>
      <c r="H4" s="3774"/>
      <c r="I4" s="3774"/>
      <c r="J4" s="3775"/>
      <c r="K4" s="1117"/>
      <c r="L4" s="2001" t="s">
        <v>1943</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1" t="e">
        <f>ROUND(IF(E2="商业",C6*C7*C17+C20,(IF(E2="住宅",C6*C13*C17+C20,IF(E2="办公",C6*C12*C17+C20,C6+C20)))),0)</f>
        <v>#DIV/0!</v>
      </c>
      <c r="D5" s="1337" t="e">
        <f>ROUND(C6*C17+C20,0)</f>
        <v>#DIV/0!</v>
      </c>
      <c r="E5" s="1337"/>
      <c r="F5" s="2005"/>
      <c r="G5" s="2006"/>
      <c r="H5" s="2006"/>
      <c r="I5" s="2006"/>
      <c r="J5" s="2007"/>
      <c r="K5" s="2008"/>
      <c r="L5" s="2001" t="s">
        <v>1945</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1946</v>
      </c>
      <c r="B6" s="2014" t="s">
        <v>1947</v>
      </c>
      <c r="C6" s="752">
        <f>SUMIF(L1:L12,G2,M1:M12)</f>
        <v>0</v>
      </c>
      <c r="D6" s="2015"/>
      <c r="E6" s="2016"/>
      <c r="F6" s="2016"/>
      <c r="G6" s="2017"/>
      <c r="H6" s="2017"/>
      <c r="I6" s="2017"/>
      <c r="J6" s="2018"/>
      <c r="K6" s="1382"/>
      <c r="L6" s="2001" t="s">
        <v>1948</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3237</v>
      </c>
      <c r="B7" s="2019" t="s">
        <v>1949</v>
      </c>
      <c r="C7" s="753" t="e">
        <f>IF(C8="不临65条商业街",1,ROUND(1+(1.6*E8+1.2*E9+0.8*E10+0.4*E11)*C9,4))</f>
        <v>#DIV/0!</v>
      </c>
      <c r="D7" s="2020" t="s">
        <v>1950</v>
      </c>
      <c r="E7" s="774"/>
      <c r="F7" s="2021"/>
      <c r="G7" s="2022"/>
      <c r="H7" s="2022"/>
      <c r="I7" s="2022"/>
      <c r="J7" s="2023"/>
      <c r="K7" s="1382"/>
      <c r="L7" s="2001" t="s">
        <v>1951</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1952</v>
      </c>
      <c r="X7" s="1212">
        <f>G2</f>
        <v>0</v>
      </c>
      <c r="Y7" s="1212" t="s">
        <v>1953</v>
      </c>
      <c r="Z7" s="1213">
        <f>G3</f>
        <v>0</v>
      </c>
      <c r="AA7" s="1214"/>
      <c r="AB7" s="1214"/>
      <c r="AC7" s="1215"/>
      <c r="AD7" s="1216"/>
      <c r="AE7" s="1216"/>
      <c r="AF7" s="1216"/>
      <c r="AG7" s="1216"/>
      <c r="AH7" s="1216"/>
      <c r="AI7" s="1216"/>
      <c r="AJ7" s="1217"/>
    </row>
    <row r="8" spans="1:36" ht="15">
      <c r="A8" s="3293"/>
      <c r="B8" s="170" t="s">
        <v>1954</v>
      </c>
      <c r="C8" s="2024"/>
      <c r="D8" s="754" t="s">
        <v>112</v>
      </c>
      <c r="E8" s="755" t="e">
        <f>ROUND(C11/E7,4)</f>
        <v>#DIV/0!</v>
      </c>
      <c r="F8" s="2025" t="s">
        <v>1955</v>
      </c>
      <c r="G8" s="2026"/>
      <c r="H8" s="2026"/>
      <c r="I8" s="2026"/>
      <c r="J8" s="2027"/>
      <c r="K8" s="1117"/>
      <c r="L8" s="2001" t="s">
        <v>1956</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69" t="s">
        <v>1957</v>
      </c>
      <c r="X8" s="3770"/>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70" t="s">
        <v>1970</v>
      </c>
      <c r="C9" s="756">
        <f>SUMIF(修正!C71:C138,C8,修正!E71:E138)</f>
        <v>0</v>
      </c>
      <c r="D9" s="171" t="s">
        <v>113</v>
      </c>
      <c r="E9" s="171" t="e">
        <f>ROUND(C11/E7,4)</f>
        <v>#DIV/0!</v>
      </c>
      <c r="F9" s="2025" t="s">
        <v>1971</v>
      </c>
      <c r="G9" s="2026"/>
      <c r="H9" s="2026"/>
      <c r="I9" s="2026"/>
      <c r="J9" s="2027"/>
      <c r="K9" s="1117"/>
      <c r="L9" s="2001" t="s">
        <v>1972</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1973</v>
      </c>
      <c r="C10" s="171">
        <f>SUMIF(修正!C71:C138,C8,修正!F71:F138)</f>
        <v>0</v>
      </c>
      <c r="D10" s="171" t="s">
        <v>114</v>
      </c>
      <c r="E10" s="171" t="e">
        <f>ROUND(C11/E7,4)</f>
        <v>#DIV/0!</v>
      </c>
      <c r="F10" s="2025" t="s">
        <v>1974</v>
      </c>
      <c r="G10" s="2026"/>
      <c r="H10" s="2026"/>
      <c r="I10" s="2026"/>
      <c r="J10" s="2027"/>
      <c r="K10" s="1117"/>
      <c r="L10" s="2001" t="s">
        <v>1975</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1976</v>
      </c>
      <c r="C11" s="757">
        <f>C10/4</f>
        <v>0</v>
      </c>
      <c r="D11" s="757" t="s">
        <v>115</v>
      </c>
      <c r="E11" s="757" t="e">
        <f>ROUND(C11/E7,4)</f>
        <v>#DIV/0!</v>
      </c>
      <c r="F11" s="2029" t="s">
        <v>1977</v>
      </c>
      <c r="G11" s="2030"/>
      <c r="H11" s="2030"/>
      <c r="I11" s="2030"/>
      <c r="J11" s="2031"/>
      <c r="K11" s="1117"/>
      <c r="L11" s="2001" t="s">
        <v>1978</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3238</v>
      </c>
      <c r="B12" s="3299" t="s">
        <v>3239</v>
      </c>
      <c r="C12" s="3300"/>
      <c r="D12" s="3301" t="s">
        <v>3240</v>
      </c>
      <c r="E12" s="3302" t="s">
        <v>3241</v>
      </c>
      <c r="F12" s="3303"/>
      <c r="G12" s="3304"/>
      <c r="H12" s="3304"/>
      <c r="I12" s="3304"/>
      <c r="J12" s="3305"/>
      <c r="K12" s="1117"/>
      <c r="L12" s="2037" t="s">
        <v>1981</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3242</v>
      </c>
      <c r="B13" s="2032" t="s">
        <v>1979</v>
      </c>
      <c r="C13" s="753">
        <f>ROUND(C16*D16*E16*F16*G16*H16*I16*J16,4)</f>
        <v>0</v>
      </c>
      <c r="D13" s="2033" t="s">
        <v>1980</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1982</v>
      </c>
      <c r="C14" s="2039" t="s">
        <v>1983</v>
      </c>
      <c r="D14" s="1348" t="s">
        <v>1984</v>
      </c>
      <c r="E14" s="27" t="s">
        <v>1985</v>
      </c>
      <c r="F14" s="3306" t="s">
        <v>3243</v>
      </c>
      <c r="G14" s="3306" t="s">
        <v>3243</v>
      </c>
      <c r="H14" s="3306" t="s">
        <v>3243</v>
      </c>
      <c r="I14" s="3306" t="s">
        <v>3243</v>
      </c>
      <c r="J14" s="3306" t="s">
        <v>3243</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3244</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1986</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3248</v>
      </c>
      <c r="E18" s="3323"/>
      <c r="F18" s="3318" t="s">
        <v>3251</v>
      </c>
      <c r="G18" s="3322">
        <f>ROUND(1-(1/(POWER(1+G24,E18))),4)</f>
        <v>0</v>
      </c>
      <c r="H18" s="3318" t="s">
        <v>3253</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3249</v>
      </c>
      <c r="E19" s="3332"/>
      <c r="F19" s="3333" t="s">
        <v>3252</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76" t="s">
        <v>3254</v>
      </c>
      <c r="B20" s="167" t="s">
        <v>1991</v>
      </c>
      <c r="C20" s="3319" t="e">
        <f>ROUND(IF(F21="与级别开发程度一致",0,(G21-E21)/C21),0)</f>
        <v>#DIV/0!</v>
      </c>
      <c r="D20" s="3335" t="s">
        <v>1995</v>
      </c>
      <c r="E20" s="3336"/>
      <c r="F20" s="3782" t="s">
        <v>1992</v>
      </c>
      <c r="G20" s="3783"/>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77"/>
      <c r="B21" s="2162" t="s">
        <v>1994</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1997</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1998</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1999</v>
      </c>
      <c r="E23" s="759">
        <v>44197</v>
      </c>
      <c r="F23" s="2052" t="s">
        <v>2000</v>
      </c>
      <c r="G23" s="760">
        <f>'数据-取费表'!B2</f>
        <v>45037</v>
      </c>
      <c r="H23" s="3337" t="s">
        <v>3256</v>
      </c>
      <c r="I23" s="3338" t="str">
        <f>IF(H23="季度增幅（自定义）",SUMIF(N25:N28,E2,O25:O28),"")</f>
        <v/>
      </c>
      <c r="J23" s="3339" t="s">
        <v>3255</v>
      </c>
      <c r="K23" s="1123"/>
      <c r="L23" s="2053" t="s">
        <v>2001</v>
      </c>
      <c r="M23" s="1326">
        <f>ROUND(SUMIF(地价!B2:G2,E2,地价!B16:G16),0)</f>
        <v>0</v>
      </c>
      <c r="N23" s="2054" t="s">
        <v>2002</v>
      </c>
      <c r="O23" s="761">
        <f>ROUNDDOWN(DATEDIF(E23,G23,"M")/3,0)</f>
        <v>9</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2003</v>
      </c>
      <c r="C24" s="762" t="e">
        <f>ROUND(POWER(1+G24,J24-I24)*(POWER(1+G24,I24)-1)/(POWER(1+G24,J24)-1),4)</f>
        <v>#DIV/0!</v>
      </c>
      <c r="D24" s="2058" t="s">
        <v>2004</v>
      </c>
      <c r="E24" s="1333">
        <f>存贷款利率!E22/100</f>
        <v>4.3499999999999997E-2</v>
      </c>
      <c r="F24" s="2058" t="s">
        <v>1996</v>
      </c>
      <c r="G24" s="766">
        <f>SUMIF(M30:Q30,E2,M33:Q33)</f>
        <v>0</v>
      </c>
      <c r="H24" s="2058" t="s">
        <v>2005</v>
      </c>
      <c r="I24" s="767" t="e">
        <f>SUMIF('数据-取费表'!C6:C15,E2,'数据-取费表'!F6:F15)/COUNTIF('数据-取费表'!C6:C15,E2)</f>
        <v>#DIV/0!</v>
      </c>
      <c r="J24" s="768">
        <f>IF(E2="住宅",70,IF(E2="商业",40,50))</f>
        <v>50</v>
      </c>
      <c r="K24" s="1123"/>
      <c r="L24" s="2059" t="s">
        <v>2006</v>
      </c>
      <c r="M24" s="1327">
        <f>ROUND(SUMPRODUCT((地价!A4:A16=YEAR(G23)&amp;"-"&amp;ROUNDUP(MONTH(G23)/3,0))*(地价!B2:G2=E2)*(地价!B4:G16)),0)</f>
        <v>0</v>
      </c>
      <c r="N24" s="2060" t="s">
        <v>2007</v>
      </c>
      <c r="O24" s="2061" t="s">
        <v>2008</v>
      </c>
      <c r="P24" s="2062" t="s">
        <v>2009</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3335</v>
      </c>
      <c r="C25" s="769">
        <f>IF(B25="容积率修正",IF(G3&lt;10,D26,J26),C27)</f>
        <v>0</v>
      </c>
      <c r="D25" s="2065"/>
      <c r="E25" s="2065"/>
      <c r="F25" s="2065"/>
      <c r="G25" s="2065"/>
      <c r="H25" s="2065"/>
      <c r="I25" s="2065"/>
      <c r="J25" s="2066"/>
      <c r="K25" s="1123"/>
      <c r="L25" s="2781"/>
      <c r="M25" s="2781"/>
      <c r="N25" s="2067" t="s">
        <v>2010</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2011</v>
      </c>
      <c r="B26" s="2068" t="s">
        <v>2012</v>
      </c>
      <c r="C26" s="3340" t="s">
        <v>3257</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0" t="str">
        <f>IF(G3&gt;=10,D115,"——")</f>
        <v>——</v>
      </c>
      <c r="K26" s="1123"/>
      <c r="L26" s="2781"/>
      <c r="M26" s="2781"/>
      <c r="N26" s="2067" t="s">
        <v>2013</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2014</v>
      </c>
      <c r="B27" s="2069" t="s">
        <v>2015</v>
      </c>
      <c r="C27" s="839">
        <f>ROUND(IF(I3&lt;6,SUMPRODUCT((B106:B110=I3)*(C105:N105=G2)*(C106:N110)),SUMIF(C105:N105,G2,C112:N112)),4)</f>
        <v>0</v>
      </c>
      <c r="D27" s="2044"/>
      <c r="E27" s="2044"/>
      <c r="F27" s="2070"/>
      <c r="G27" s="2071"/>
      <c r="H27" s="2072"/>
      <c r="I27" s="2073"/>
      <c r="J27" s="2074"/>
      <c r="K27" s="1117"/>
      <c r="L27" s="1995"/>
      <c r="M27" s="1995"/>
      <c r="N27" s="2067" t="s">
        <v>2016</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2017</v>
      </c>
      <c r="C28" s="758">
        <f>SUMIF(A47:A101,E2,B47:B101)</f>
        <v>0</v>
      </c>
      <c r="D28" s="2050"/>
      <c r="E28" s="2075"/>
      <c r="F28" s="2075"/>
      <c r="G28" s="2075"/>
      <c r="H28" s="2075"/>
      <c r="I28" s="2075"/>
      <c r="J28" s="2076"/>
      <c r="K28" s="1123"/>
      <c r="L28" s="2781"/>
      <c r="M28" s="2781"/>
      <c r="N28" s="2077"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2019</v>
      </c>
      <c r="C29" s="763"/>
      <c r="D29" s="2022"/>
      <c r="E29" s="2022"/>
      <c r="F29" s="2079"/>
      <c r="G29" s="2022"/>
      <c r="H29" s="2022"/>
      <c r="I29" s="2022"/>
      <c r="J29" s="2023"/>
      <c r="K29" s="1117"/>
      <c r="L29" s="1995"/>
      <c r="M29" s="1995"/>
      <c r="N29" s="2778" t="s">
        <v>2020</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2021</v>
      </c>
      <c r="C30" s="2319" t="e">
        <f>IF(B25="容积率修正",E33+SUM(E37:E42),SUM(V2:V16)+SUM(E37:E42))</f>
        <v>#DIV/0!</v>
      </c>
      <c r="D30" s="2081"/>
      <c r="E30" s="2044"/>
      <c r="F30" s="2082"/>
      <c r="G30" s="2044"/>
      <c r="H30" s="2044"/>
      <c r="I30" s="2044"/>
      <c r="J30" s="2083"/>
      <c r="K30" s="1117"/>
      <c r="L30" s="3346" t="s">
        <v>1933</v>
      </c>
      <c r="M30" s="3347" t="s">
        <v>1987</v>
      </c>
      <c r="N30" s="3347" t="s">
        <v>1988</v>
      </c>
      <c r="O30" s="3347" t="s">
        <v>1989</v>
      </c>
      <c r="P30" s="3347" t="s">
        <v>1990</v>
      </c>
      <c r="Q30" s="3350" t="s">
        <v>3262</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2022</v>
      </c>
      <c r="C31" s="764" t="e">
        <f>E34+SUM(I37:I42)</f>
        <v>#DIV/0!</v>
      </c>
      <c r="D31" s="2085"/>
      <c r="E31" s="2086"/>
      <c r="F31" s="2087"/>
      <c r="G31" s="2086"/>
      <c r="H31" s="2086"/>
      <c r="I31" s="2086"/>
      <c r="J31" s="2088"/>
      <c r="K31" s="1117"/>
      <c r="L31" s="3348" t="s">
        <v>1993</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7"/>
      <c r="L32" s="3349" t="s">
        <v>1996</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2027</v>
      </c>
      <c r="C33" s="175" t="e">
        <f>ROUND(C5*C22*C23*C24*C25*C28,0)</f>
        <v>#DIV/0!</v>
      </c>
      <c r="D33" s="2096"/>
      <c r="E33" s="771" t="e">
        <f>ROUND(C33*D33/10000,0)</f>
        <v>#DIV/0!</v>
      </c>
      <c r="F33" s="3341" t="s">
        <v>3260</v>
      </c>
      <c r="G33" s="2097"/>
      <c r="H33" s="2097"/>
      <c r="I33" s="2097"/>
      <c r="J33" s="2098"/>
      <c r="K33" s="1117"/>
      <c r="L33" s="3344" t="s">
        <v>3263</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2028</v>
      </c>
      <c r="C34" s="187" t="e">
        <f>ROUND(IF(E2="工业",C33*M42,IF(B25="楼层修正",SUM(V2:V16)*M41*10000/D34,C33*M41)),0)</f>
        <v>#DIV/0!</v>
      </c>
      <c r="D34" s="2101"/>
      <c r="E34" s="771" t="e">
        <f>ROUND(IF(B25="楼层修正",SUM(V2:V16)*M40,C34*D34/10000),0)</f>
        <v>#DIV/0!</v>
      </c>
      <c r="F34" s="2102" t="s">
        <v>2029</v>
      </c>
      <c r="G34" s="2103"/>
      <c r="H34" s="2103"/>
      <c r="I34" s="2103"/>
      <c r="J34" s="2104"/>
      <c r="K34" s="1117"/>
      <c r="L34" s="3344" t="s">
        <v>3264</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2030</v>
      </c>
      <c r="C35" s="3342" t="s">
        <v>3261</v>
      </c>
      <c r="D35" s="2035"/>
      <c r="E35" s="2107"/>
      <c r="F35" s="2107"/>
      <c r="G35" s="2033" t="s">
        <v>2031</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2024</v>
      </c>
      <c r="D36" s="447" t="s">
        <v>2025</v>
      </c>
      <c r="E36" s="447" t="s">
        <v>2026</v>
      </c>
      <c r="F36" s="342" t="s">
        <v>2032</v>
      </c>
      <c r="G36" s="2110" t="s">
        <v>2024</v>
      </c>
      <c r="H36" s="2110" t="s">
        <v>2025</v>
      </c>
      <c r="I36" s="2110" t="s">
        <v>2026</v>
      </c>
      <c r="J36" s="243"/>
      <c r="K36" s="3352" t="s">
        <v>3265</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0"/>
      <c r="B37" s="2111" t="s">
        <v>2033</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3266</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1"/>
      <c r="B38" s="2039" t="s">
        <v>2034</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2035</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2036</v>
      </c>
      <c r="M40" s="2115"/>
      <c r="Z40" s="1118"/>
      <c r="AA40" s="1118"/>
      <c r="AB40" s="1118"/>
      <c r="AC40" s="1118"/>
      <c r="AD40" s="1118"/>
      <c r="AE40" s="1118"/>
      <c r="AF40" s="1118"/>
      <c r="AG40" s="1118"/>
      <c r="AH40" s="1118"/>
      <c r="AI40" s="1118"/>
      <c r="AJ40" s="1118"/>
    </row>
    <row r="41" spans="1:37" s="1117" customFormat="1">
      <c r="A41" s="2113"/>
      <c r="B41" s="2039" t="s">
        <v>2037</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18"/>
      <c r="AA41" s="1118"/>
      <c r="AB41" s="1118"/>
      <c r="AC41" s="1118"/>
      <c r="AD41" s="1118"/>
      <c r="AE41" s="1118"/>
      <c r="AF41" s="1118"/>
      <c r="AG41" s="1118"/>
      <c r="AH41" s="1118"/>
      <c r="AI41" s="1118"/>
      <c r="AJ41" s="1118"/>
    </row>
    <row r="42" spans="1:37" s="1117" customFormat="1" ht="13.5" thickBot="1">
      <c r="A42" s="2099"/>
      <c r="B42" s="2117" t="s">
        <v>2038</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1990</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t="e">
        <f>ROUND(POWER(1+E44,H44-G44)*(POWER(1+E44,G44)-1)/(POWER(1+E44,H44)-1),4)</f>
        <v>#DIV/0!</v>
      </c>
      <c r="D44" s="171" t="s">
        <v>1996</v>
      </c>
      <c r="E44" s="2151">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2039</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2040</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2041</v>
      </c>
      <c r="B49" s="1349" t="s">
        <v>2042</v>
      </c>
      <c r="C49" s="1349" t="s">
        <v>2043</v>
      </c>
      <c r="D49" s="1349" t="s">
        <v>2044</v>
      </c>
      <c r="E49" s="741" t="s">
        <v>2045</v>
      </c>
      <c r="F49" s="2129" t="s">
        <v>2046</v>
      </c>
      <c r="G49" s="1349" t="s">
        <v>310</v>
      </c>
      <c r="H49" s="2130" t="s">
        <v>2047</v>
      </c>
      <c r="I49" s="1349"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24.75">
      <c r="A50" s="2128" t="s">
        <v>2049</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2050</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3269</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2051</v>
      </c>
      <c r="B53" s="2133" t="s">
        <v>2052</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2053</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2054</v>
      </c>
      <c r="B55" s="2134" t="s">
        <v>2055</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2056</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2057</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2058</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2059</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2041</v>
      </c>
      <c r="B60" s="1349"/>
      <c r="C60" s="1349" t="s">
        <v>2043</v>
      </c>
      <c r="D60" s="1349" t="s">
        <v>2044</v>
      </c>
      <c r="E60" s="741" t="s">
        <v>2045</v>
      </c>
      <c r="F60" s="2129" t="s">
        <v>2060</v>
      </c>
      <c r="G60" s="1349" t="s">
        <v>310</v>
      </c>
      <c r="H60" s="2130" t="s">
        <v>2047</v>
      </c>
      <c r="I60" s="1349"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51">
      <c r="A61" s="2128" t="s">
        <v>2061</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2050</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3269</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2051</v>
      </c>
      <c r="B64" s="2133" t="s">
        <v>2052</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2053</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2054</v>
      </c>
      <c r="B66" s="2134" t="s">
        <v>2055</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2056</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2057</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2058</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2062</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2041</v>
      </c>
      <c r="B71" s="1349"/>
      <c r="C71" s="1349" t="s">
        <v>2043</v>
      </c>
      <c r="D71" s="1349" t="s">
        <v>2044</v>
      </c>
      <c r="E71" s="741" t="s">
        <v>2045</v>
      </c>
      <c r="F71" s="2129" t="s">
        <v>2060</v>
      </c>
      <c r="G71" s="1349" t="s">
        <v>310</v>
      </c>
      <c r="H71" s="2130" t="s">
        <v>2047</v>
      </c>
      <c r="I71" s="1349"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24">
      <c r="A72" s="2128" t="s">
        <v>2063</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2050</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3269</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2064</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2056</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2057</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2054</v>
      </c>
      <c r="B78" s="2134" t="s">
        <v>2055</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2058</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2065</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2066</v>
      </c>
      <c r="B81" s="2125">
        <f>1+E83</f>
        <v>1</v>
      </c>
      <c r="C81" s="739"/>
      <c r="D81" s="739"/>
      <c r="E81" s="740"/>
      <c r="F81" s="2127"/>
      <c r="G81" s="3"/>
      <c r="H81" s="3"/>
      <c r="I81" s="3"/>
      <c r="J81" s="4"/>
      <c r="K81" s="4"/>
      <c r="L81" s="4"/>
      <c r="M81" s="4"/>
      <c r="N81" s="4"/>
      <c r="Z81" s="1996"/>
      <c r="AA81" s="2051"/>
      <c r="AG81" s="1119"/>
      <c r="AK81" s="2051"/>
    </row>
    <row r="82" spans="1:37" ht="24.75">
      <c r="A82" s="2128" t="s">
        <v>2041</v>
      </c>
      <c r="B82" s="1349"/>
      <c r="C82" s="1349" t="s">
        <v>2043</v>
      </c>
      <c r="D82" s="1349" t="s">
        <v>2044</v>
      </c>
      <c r="E82" s="741" t="s">
        <v>2045</v>
      </c>
      <c r="F82" s="2129" t="s">
        <v>2060</v>
      </c>
      <c r="G82" s="1349" t="s">
        <v>310</v>
      </c>
      <c r="H82" s="2130" t="s">
        <v>2047</v>
      </c>
      <c r="I82" s="1349" t="s">
        <v>2048</v>
      </c>
      <c r="J82" s="552" t="s">
        <v>1718</v>
      </c>
      <c r="K82" s="552" t="s">
        <v>1719</v>
      </c>
      <c r="L82" s="552" t="s">
        <v>1720</v>
      </c>
      <c r="M82" s="552" t="s">
        <v>1721</v>
      </c>
      <c r="N82" s="552" t="s">
        <v>1722</v>
      </c>
      <c r="Z82" s="1996"/>
      <c r="AA82" s="2051"/>
      <c r="AG82" s="1119"/>
      <c r="AK82" s="2051"/>
    </row>
    <row r="83" spans="1:37" ht="38.25">
      <c r="A83" s="2128" t="s">
        <v>2067</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2050</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3270</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2064</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2056</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2057</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2054</v>
      </c>
      <c r="B89" s="2134" t="s">
        <v>2068</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2069</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2606</v>
      </c>
      <c r="B91" s="3373">
        <f>1+E93</f>
        <v>1</v>
      </c>
      <c r="C91" s="3366"/>
      <c r="D91" s="3367"/>
      <c r="E91" s="1812"/>
      <c r="F91" s="1812"/>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3273</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3277</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3279</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78" t="s">
        <v>3294</v>
      </c>
      <c r="B103" s="3778"/>
      <c r="C103" s="3778"/>
      <c r="D103" s="3778"/>
      <c r="E103" s="3778"/>
      <c r="F103" s="3778"/>
      <c r="G103" s="3778"/>
      <c r="H103" s="3778"/>
      <c r="I103" s="3778"/>
      <c r="J103" s="3778"/>
      <c r="K103" s="3385"/>
      <c r="L103" s="3385"/>
      <c r="M103" s="3385"/>
      <c r="N103" s="3385"/>
    </row>
    <row r="104" spans="1:14">
      <c r="A104" s="3779" t="s">
        <v>3295</v>
      </c>
      <c r="B104" s="3779" t="s">
        <v>3296</v>
      </c>
      <c r="C104" s="3386" t="s">
        <v>3297</v>
      </c>
      <c r="D104" s="3387"/>
      <c r="E104" s="3387"/>
      <c r="F104" s="3387"/>
      <c r="G104" s="3387"/>
      <c r="H104" s="3387"/>
      <c r="I104" s="3387"/>
      <c r="J104" s="3388"/>
      <c r="K104" s="3389"/>
      <c r="L104" s="3389"/>
      <c r="M104" s="3389"/>
      <c r="N104" s="3389"/>
    </row>
    <row r="105" spans="1:14">
      <c r="A105" s="3779"/>
      <c r="B105" s="377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6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6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6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6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6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66"/>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6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68" t="s">
        <v>3311</v>
      </c>
      <c r="B113" s="3768"/>
      <c r="C113" s="3768"/>
      <c r="D113" s="3768"/>
      <c r="E113" s="3768"/>
      <c r="F113" s="3768"/>
      <c r="G113" s="3768"/>
      <c r="H113" s="3768"/>
      <c r="I113" s="3768"/>
      <c r="J113" s="376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2606</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93" t="s">
        <v>2601</v>
      </c>
      <c r="B20" s="3788" t="s">
        <v>2622</v>
      </c>
      <c r="C20" s="3096" t="s">
        <v>2433</v>
      </c>
      <c r="D20" s="3097"/>
      <c r="E20" s="3098">
        <v>1</v>
      </c>
      <c r="F20" s="3099" t="s">
        <v>2434</v>
      </c>
      <c r="G20" s="3099"/>
    </row>
    <row r="21" spans="1:13" ht="19.5" customHeight="1">
      <c r="A21" s="3794"/>
      <c r="B21" s="3787"/>
      <c r="C21" s="3100" t="s">
        <v>2435</v>
      </c>
      <c r="D21" s="3101"/>
      <c r="E21" s="3102">
        <v>1</v>
      </c>
      <c r="F21" s="3099" t="s">
        <v>2436</v>
      </c>
      <c r="G21" s="3099"/>
    </row>
    <row r="22" spans="1:13" ht="19.5" customHeight="1">
      <c r="A22" s="3794"/>
      <c r="B22" s="3787"/>
      <c r="C22" s="3100" t="s">
        <v>2437</v>
      </c>
      <c r="D22" s="3101"/>
      <c r="E22" s="3102">
        <v>0.9</v>
      </c>
      <c r="F22" s="3099" t="s">
        <v>2438</v>
      </c>
      <c r="G22" s="3099"/>
    </row>
    <row r="23" spans="1:13" ht="19.5" customHeight="1">
      <c r="A23" s="3794"/>
      <c r="B23" s="3787"/>
      <c r="C23" s="3100" t="s">
        <v>2439</v>
      </c>
      <c r="D23" s="3101"/>
      <c r="E23" s="3102">
        <v>0.9</v>
      </c>
      <c r="F23" s="3099" t="s">
        <v>2440</v>
      </c>
      <c r="G23" s="3099"/>
    </row>
    <row r="24" spans="1:13" ht="19.5" customHeight="1">
      <c r="A24" s="3794"/>
      <c r="B24" s="3787"/>
      <c r="C24" s="3100" t="s">
        <v>2441</v>
      </c>
      <c r="D24" s="3101"/>
      <c r="E24" s="3102">
        <v>0.8</v>
      </c>
      <c r="F24" s="3099" t="s">
        <v>2442</v>
      </c>
      <c r="G24" s="3099"/>
    </row>
    <row r="25" spans="1:13" ht="19.5" customHeight="1" thickBot="1">
      <c r="A25" s="3795"/>
      <c r="B25" s="3789"/>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90" t="s">
        <v>2625</v>
      </c>
      <c r="B27" s="3788" t="s">
        <v>2606</v>
      </c>
      <c r="C27" s="3096" t="s">
        <v>2446</v>
      </c>
      <c r="D27" s="3097"/>
      <c r="E27" s="3098">
        <v>1</v>
      </c>
      <c r="F27" s="3099" t="s">
        <v>2447</v>
      </c>
      <c r="G27" s="3099"/>
    </row>
    <row r="28" spans="1:13" ht="19.5" customHeight="1">
      <c r="A28" s="3791"/>
      <c r="B28" s="3787"/>
      <c r="C28" s="3100" t="s">
        <v>2448</v>
      </c>
      <c r="D28" s="3101"/>
      <c r="E28" s="3102">
        <v>1</v>
      </c>
      <c r="F28" s="3099" t="s">
        <v>2449</v>
      </c>
      <c r="G28" s="3099"/>
    </row>
    <row r="29" spans="1:13" ht="19.5" customHeight="1">
      <c r="A29" s="3791"/>
      <c r="B29" s="3787"/>
      <c r="C29" s="3100" t="s">
        <v>2450</v>
      </c>
      <c r="D29" s="3101"/>
      <c r="E29" s="3102">
        <v>0.8</v>
      </c>
      <c r="F29" s="3099" t="s">
        <v>2451</v>
      </c>
      <c r="G29" s="3099"/>
    </row>
    <row r="30" spans="1:13" ht="19.5" customHeight="1">
      <c r="A30" s="3791"/>
      <c r="B30" s="3787"/>
      <c r="C30" s="3100" t="s">
        <v>2452</v>
      </c>
      <c r="D30" s="3101"/>
      <c r="E30" s="3102">
        <v>0.8</v>
      </c>
      <c r="F30" s="3099" t="s">
        <v>2453</v>
      </c>
      <c r="G30" s="3099"/>
    </row>
    <row r="31" spans="1:13" ht="19.5" customHeight="1">
      <c r="A31" s="3791"/>
      <c r="B31" s="3787"/>
      <c r="C31" s="3100" t="s">
        <v>2454</v>
      </c>
      <c r="D31" s="3101"/>
      <c r="E31" s="3102">
        <v>0.8</v>
      </c>
      <c r="F31" s="3099" t="s">
        <v>2455</v>
      </c>
      <c r="G31" s="3099"/>
    </row>
    <row r="32" spans="1:13" ht="19.5" customHeight="1">
      <c r="A32" s="3791"/>
      <c r="B32" s="3787"/>
      <c r="C32" s="3100" t="s">
        <v>2456</v>
      </c>
      <c r="D32" s="3101"/>
      <c r="E32" s="3102">
        <v>0.7</v>
      </c>
      <c r="F32" s="3099" t="s">
        <v>2457</v>
      </c>
      <c r="G32" s="3099"/>
    </row>
    <row r="33" spans="1:7" ht="19.5" customHeight="1">
      <c r="A33" s="3791"/>
      <c r="B33" s="3787"/>
      <c r="C33" s="3100" t="s">
        <v>2458</v>
      </c>
      <c r="D33" s="3101"/>
      <c r="E33" s="3102">
        <v>0.8</v>
      </c>
      <c r="F33" s="3099" t="s">
        <v>2459</v>
      </c>
      <c r="G33" s="3099"/>
    </row>
    <row r="34" spans="1:7" ht="19.5" customHeight="1">
      <c r="A34" s="3791"/>
      <c r="B34" s="3787"/>
      <c r="C34" s="3100" t="s">
        <v>2460</v>
      </c>
      <c r="D34" s="3101"/>
      <c r="E34" s="3102">
        <v>0.6</v>
      </c>
      <c r="F34" s="3099" t="s">
        <v>2461</v>
      </c>
      <c r="G34" s="3099"/>
    </row>
    <row r="35" spans="1:7" ht="19.5" customHeight="1">
      <c r="A35" s="3791"/>
      <c r="B35" s="3787"/>
      <c r="C35" s="3100" t="s">
        <v>2462</v>
      </c>
      <c r="D35" s="3101"/>
      <c r="E35" s="3102">
        <v>0.2</v>
      </c>
      <c r="F35" s="3099" t="s">
        <v>2463</v>
      </c>
      <c r="G35" s="3099"/>
    </row>
    <row r="36" spans="1:7" ht="19.5" customHeight="1">
      <c r="A36" s="3791"/>
      <c r="B36" s="3787"/>
      <c r="C36" s="3100" t="s">
        <v>2464</v>
      </c>
      <c r="D36" s="3101"/>
      <c r="E36" s="3102">
        <v>0.2</v>
      </c>
      <c r="F36" s="3099" t="s">
        <v>2465</v>
      </c>
      <c r="G36" s="3099"/>
    </row>
    <row r="37" spans="1:7" ht="19.5" customHeight="1">
      <c r="A37" s="3791"/>
      <c r="B37" s="3785" t="s">
        <v>2626</v>
      </c>
      <c r="C37" s="3100" t="s">
        <v>2466</v>
      </c>
      <c r="D37" s="3101"/>
      <c r="E37" s="3102">
        <v>0.6</v>
      </c>
      <c r="F37" s="3099" t="s">
        <v>2467</v>
      </c>
      <c r="G37" s="3099"/>
    </row>
    <row r="38" spans="1:7" ht="19.5" customHeight="1">
      <c r="A38" s="3791"/>
      <c r="B38" s="3787"/>
      <c r="C38" s="3100" t="s">
        <v>2468</v>
      </c>
      <c r="D38" s="3101"/>
      <c r="E38" s="3102">
        <v>0.6</v>
      </c>
      <c r="F38" s="3099" t="s">
        <v>2469</v>
      </c>
      <c r="G38" s="3099"/>
    </row>
    <row r="39" spans="1:7" ht="19.5" customHeight="1" thickBot="1">
      <c r="A39" s="3792"/>
      <c r="B39" s="3789"/>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93" t="s">
        <v>2604</v>
      </c>
      <c r="B41" s="3788" t="s">
        <v>2628</v>
      </c>
      <c r="C41" s="3096" t="s">
        <v>2473</v>
      </c>
      <c r="D41" s="3097"/>
      <c r="E41" s="3098">
        <v>1</v>
      </c>
      <c r="F41" s="3099" t="s">
        <v>2474</v>
      </c>
      <c r="G41" s="3099"/>
    </row>
    <row r="42" spans="1:7" ht="19.5" customHeight="1">
      <c r="A42" s="3794"/>
      <c r="B42" s="3787"/>
      <c r="C42" s="3100" t="s">
        <v>2475</v>
      </c>
      <c r="D42" s="3101"/>
      <c r="E42" s="3102">
        <v>1</v>
      </c>
      <c r="F42" s="3099" t="s">
        <v>2476</v>
      </c>
      <c r="G42" s="3099"/>
    </row>
    <row r="43" spans="1:7" ht="19.5" customHeight="1">
      <c r="A43" s="3794"/>
      <c r="B43" s="3786"/>
      <c r="C43" s="3100" t="s">
        <v>2477</v>
      </c>
      <c r="D43" s="3101"/>
      <c r="E43" s="3102">
        <v>1.5</v>
      </c>
      <c r="F43" s="3099" t="s">
        <v>2478</v>
      </c>
      <c r="G43" s="3099"/>
    </row>
    <row r="44" spans="1:7" ht="19.5" customHeight="1">
      <c r="A44" s="3794"/>
      <c r="B44" s="3111" t="s">
        <v>2629</v>
      </c>
      <c r="C44" s="3100" t="s">
        <v>2630</v>
      </c>
      <c r="D44" s="3101"/>
      <c r="E44" s="3102">
        <v>2</v>
      </c>
      <c r="F44" s="3099" t="s">
        <v>2479</v>
      </c>
      <c r="G44" s="3099"/>
    </row>
    <row r="45" spans="1:7" ht="19.5" customHeight="1">
      <c r="A45" s="3794"/>
      <c r="B45" s="3785" t="s">
        <v>2631</v>
      </c>
      <c r="C45" s="3100" t="s">
        <v>2480</v>
      </c>
      <c r="D45" s="3101"/>
      <c r="E45" s="3102">
        <v>1</v>
      </c>
      <c r="F45" s="3099" t="s">
        <v>2481</v>
      </c>
      <c r="G45" s="3099"/>
    </row>
    <row r="46" spans="1:7" ht="19.5" customHeight="1">
      <c r="A46" s="3794"/>
      <c r="B46" s="3787"/>
      <c r="C46" s="3100" t="s">
        <v>2482</v>
      </c>
      <c r="D46" s="3101"/>
      <c r="E46" s="3102">
        <v>1</v>
      </c>
      <c r="F46" s="3099" t="s">
        <v>2483</v>
      </c>
      <c r="G46" s="3099"/>
    </row>
    <row r="47" spans="1:7" ht="19.5" customHeight="1">
      <c r="A47" s="3794"/>
      <c r="B47" s="3787"/>
      <c r="C47" s="3100" t="s">
        <v>2484</v>
      </c>
      <c r="D47" s="3101"/>
      <c r="E47" s="3102">
        <v>1</v>
      </c>
      <c r="F47" s="3099" t="s">
        <v>2485</v>
      </c>
      <c r="G47" s="3099"/>
    </row>
    <row r="48" spans="1:7" ht="19.5" customHeight="1">
      <c r="A48" s="3794"/>
      <c r="B48" s="3787"/>
      <c r="C48" s="3100" t="s">
        <v>2486</v>
      </c>
      <c r="D48" s="3101"/>
      <c r="E48" s="3102">
        <v>1</v>
      </c>
      <c r="F48" s="3099" t="s">
        <v>2487</v>
      </c>
      <c r="G48" s="3099"/>
    </row>
    <row r="49" spans="1:7" ht="19.5" customHeight="1">
      <c r="A49" s="3794"/>
      <c r="B49" s="3787"/>
      <c r="C49" s="3100" t="s">
        <v>2488</v>
      </c>
      <c r="D49" s="3101"/>
      <c r="E49" s="3102">
        <v>1</v>
      </c>
      <c r="F49" s="3099" t="s">
        <v>2489</v>
      </c>
      <c r="G49" s="3099"/>
    </row>
    <row r="50" spans="1:7" ht="19.5" customHeight="1">
      <c r="A50" s="3794"/>
      <c r="B50" s="3787"/>
      <c r="C50" s="3100" t="s">
        <v>2490</v>
      </c>
      <c r="D50" s="3101"/>
      <c r="E50" s="3102">
        <v>1</v>
      </c>
      <c r="F50" s="3099" t="s">
        <v>2491</v>
      </c>
      <c r="G50" s="3099"/>
    </row>
    <row r="51" spans="1:7" ht="19.5" customHeight="1" thickBot="1">
      <c r="A51" s="3795"/>
      <c r="B51" s="3789"/>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85" t="s">
        <v>2645</v>
      </c>
      <c r="C73" s="3085" t="s">
        <v>2646</v>
      </c>
      <c r="D73" s="3085" t="s">
        <v>2647</v>
      </c>
      <c r="E73" s="3111">
        <v>0.2</v>
      </c>
      <c r="F73" s="3111">
        <v>25</v>
      </c>
    </row>
    <row r="74" spans="1:7" ht="24">
      <c r="A74" s="3111">
        <v>2</v>
      </c>
      <c r="B74" s="3787"/>
      <c r="C74" s="3085" t="s">
        <v>2648</v>
      </c>
      <c r="D74" s="3085" t="s">
        <v>2649</v>
      </c>
      <c r="E74" s="3111">
        <v>0.2</v>
      </c>
      <c r="F74" s="3111">
        <v>25</v>
      </c>
    </row>
    <row r="75" spans="1:7" ht="24">
      <c r="A75" s="3111">
        <v>3</v>
      </c>
      <c r="B75" s="3787"/>
      <c r="C75" s="3085" t="s">
        <v>2650</v>
      </c>
      <c r="D75" s="3085" t="s">
        <v>2651</v>
      </c>
      <c r="E75" s="3111">
        <v>0.2</v>
      </c>
      <c r="F75" s="3111">
        <v>25</v>
      </c>
    </row>
    <row r="76" spans="1:7" ht="13.5">
      <c r="A76" s="3111">
        <v>4</v>
      </c>
      <c r="B76" s="3787"/>
      <c r="C76" s="3085" t="s">
        <v>2652</v>
      </c>
      <c r="D76" s="3085" t="s">
        <v>2653</v>
      </c>
      <c r="E76" s="3111">
        <v>0.15</v>
      </c>
      <c r="F76" s="3111">
        <v>20</v>
      </c>
    </row>
    <row r="77" spans="1:7" ht="24">
      <c r="A77" s="3111">
        <v>5</v>
      </c>
      <c r="B77" s="3787"/>
      <c r="C77" s="3085" t="s">
        <v>2654</v>
      </c>
      <c r="D77" s="3085" t="s">
        <v>2655</v>
      </c>
      <c r="E77" s="3111">
        <v>0.15</v>
      </c>
      <c r="F77" s="3111">
        <v>20</v>
      </c>
    </row>
    <row r="78" spans="1:7" ht="24">
      <c r="A78" s="3111">
        <v>6</v>
      </c>
      <c r="B78" s="3787"/>
      <c r="C78" s="3085" t="s">
        <v>2656</v>
      </c>
      <c r="D78" s="3085" t="s">
        <v>2657</v>
      </c>
      <c r="E78" s="3111">
        <v>0.15</v>
      </c>
      <c r="F78" s="3111">
        <v>20</v>
      </c>
    </row>
    <row r="79" spans="1:7" ht="24">
      <c r="A79" s="3111">
        <v>7</v>
      </c>
      <c r="B79" s="3787"/>
      <c r="C79" s="3085" t="s">
        <v>2658</v>
      </c>
      <c r="D79" s="3085" t="s">
        <v>2659</v>
      </c>
      <c r="E79" s="3111">
        <v>0.15</v>
      </c>
      <c r="F79" s="3111">
        <v>20</v>
      </c>
    </row>
    <row r="80" spans="1:7" ht="24">
      <c r="A80" s="3111">
        <v>8</v>
      </c>
      <c r="B80" s="3787"/>
      <c r="C80" s="3085" t="s">
        <v>2660</v>
      </c>
      <c r="D80" s="3085" t="s">
        <v>2661</v>
      </c>
      <c r="E80" s="3111">
        <v>0.1</v>
      </c>
      <c r="F80" s="3111">
        <v>15</v>
      </c>
    </row>
    <row r="81" spans="1:6" ht="24">
      <c r="A81" s="3111">
        <v>9</v>
      </c>
      <c r="B81" s="3787"/>
      <c r="C81" s="3085" t="s">
        <v>2662</v>
      </c>
      <c r="D81" s="3085" t="s">
        <v>2663</v>
      </c>
      <c r="E81" s="3111">
        <v>0.1</v>
      </c>
      <c r="F81" s="3111">
        <v>15</v>
      </c>
    </row>
    <row r="82" spans="1:6" ht="24">
      <c r="A82" s="3111">
        <v>10</v>
      </c>
      <c r="B82" s="3787"/>
      <c r="C82" s="3085" t="s">
        <v>2664</v>
      </c>
      <c r="D82" s="3085" t="s">
        <v>2665</v>
      </c>
      <c r="E82" s="3111">
        <v>0.1</v>
      </c>
      <c r="F82" s="3111">
        <v>15</v>
      </c>
    </row>
    <row r="83" spans="1:6" ht="24">
      <c r="A83" s="3111">
        <v>11</v>
      </c>
      <c r="B83" s="3787"/>
      <c r="C83" s="3085" t="s">
        <v>2666</v>
      </c>
      <c r="D83" s="3085" t="s">
        <v>2667</v>
      </c>
      <c r="E83" s="3111">
        <v>0.1</v>
      </c>
      <c r="F83" s="3111">
        <v>15</v>
      </c>
    </row>
    <row r="84" spans="1:6" ht="24">
      <c r="A84" s="3111">
        <v>12</v>
      </c>
      <c r="B84" s="3787"/>
      <c r="C84" s="3085" t="s">
        <v>2668</v>
      </c>
      <c r="D84" s="3085" t="s">
        <v>2669</v>
      </c>
      <c r="E84" s="3111">
        <v>0.1</v>
      </c>
      <c r="F84" s="3111">
        <v>15</v>
      </c>
    </row>
    <row r="85" spans="1:6" ht="13.5">
      <c r="A85" s="3111">
        <v>13</v>
      </c>
      <c r="B85" s="3787"/>
      <c r="C85" s="3085" t="s">
        <v>2670</v>
      </c>
      <c r="D85" s="3085" t="s">
        <v>2671</v>
      </c>
      <c r="E85" s="3111">
        <v>0.1</v>
      </c>
      <c r="F85" s="3111">
        <v>15</v>
      </c>
    </row>
    <row r="86" spans="1:6" ht="13.5">
      <c r="A86" s="3111">
        <v>14</v>
      </c>
      <c r="B86" s="3787"/>
      <c r="C86" s="3085" t="s">
        <v>2672</v>
      </c>
      <c r="D86" s="3085" t="s">
        <v>2673</v>
      </c>
      <c r="E86" s="3111">
        <v>0.1</v>
      </c>
      <c r="F86" s="3111">
        <v>15</v>
      </c>
    </row>
    <row r="87" spans="1:6" ht="13.5">
      <c r="A87" s="3111">
        <v>15</v>
      </c>
      <c r="B87" s="3787"/>
      <c r="C87" s="3085" t="s">
        <v>2674</v>
      </c>
      <c r="D87" s="3085" t="s">
        <v>2675</v>
      </c>
      <c r="E87" s="3111">
        <v>0.1</v>
      </c>
      <c r="F87" s="3111">
        <v>15</v>
      </c>
    </row>
    <row r="88" spans="1:6" ht="24">
      <c r="A88" s="3111">
        <v>16</v>
      </c>
      <c r="B88" s="3787"/>
      <c r="C88" s="3085" t="s">
        <v>2676</v>
      </c>
      <c r="D88" s="3085" t="s">
        <v>2677</v>
      </c>
      <c r="E88" s="3111">
        <v>0.1</v>
      </c>
      <c r="F88" s="3111">
        <v>15</v>
      </c>
    </row>
    <row r="89" spans="1:6" ht="24">
      <c r="A89" s="3111">
        <v>17</v>
      </c>
      <c r="B89" s="3786"/>
      <c r="C89" s="3085" t="s">
        <v>2678</v>
      </c>
      <c r="D89" s="3085" t="s">
        <v>2679</v>
      </c>
      <c r="E89" s="3111">
        <v>0.1</v>
      </c>
      <c r="F89" s="3111">
        <v>15</v>
      </c>
    </row>
    <row r="90" spans="1:6" ht="13.5">
      <c r="A90" s="3111">
        <v>18</v>
      </c>
      <c r="B90" s="3785" t="s">
        <v>2680</v>
      </c>
      <c r="C90" s="3085" t="s">
        <v>2681</v>
      </c>
      <c r="D90" s="3085" t="s">
        <v>2682</v>
      </c>
      <c r="E90" s="3111">
        <v>0.2</v>
      </c>
      <c r="F90" s="3111">
        <v>25</v>
      </c>
    </row>
    <row r="91" spans="1:6" ht="24">
      <c r="A91" s="3111">
        <v>19</v>
      </c>
      <c r="B91" s="3787"/>
      <c r="C91" s="3085" t="s">
        <v>2683</v>
      </c>
      <c r="D91" s="3085" t="s">
        <v>2684</v>
      </c>
      <c r="E91" s="3111">
        <v>0.2</v>
      </c>
      <c r="F91" s="3111">
        <v>25</v>
      </c>
    </row>
    <row r="92" spans="1:6" ht="13.5">
      <c r="A92" s="3111">
        <v>20</v>
      </c>
      <c r="B92" s="3787"/>
      <c r="C92" s="3085" t="s">
        <v>2685</v>
      </c>
      <c r="D92" s="3085" t="s">
        <v>2686</v>
      </c>
      <c r="E92" s="3111">
        <v>0.15</v>
      </c>
      <c r="F92" s="3111">
        <v>20</v>
      </c>
    </row>
    <row r="93" spans="1:6" ht="13.5">
      <c r="A93" s="3111">
        <v>21</v>
      </c>
      <c r="B93" s="3787"/>
      <c r="C93" s="3085" t="s">
        <v>2687</v>
      </c>
      <c r="D93" s="3085" t="s">
        <v>2688</v>
      </c>
      <c r="E93" s="3111">
        <v>0.15</v>
      </c>
      <c r="F93" s="3111">
        <v>20</v>
      </c>
    </row>
    <row r="94" spans="1:6" ht="13.5">
      <c r="A94" s="3111">
        <v>22</v>
      </c>
      <c r="B94" s="3787"/>
      <c r="C94" s="3085" t="s">
        <v>2689</v>
      </c>
      <c r="D94" s="3085" t="s">
        <v>2690</v>
      </c>
      <c r="E94" s="3111">
        <v>0.15</v>
      </c>
      <c r="F94" s="3111">
        <v>20</v>
      </c>
    </row>
    <row r="95" spans="1:6" ht="36">
      <c r="A95" s="3111">
        <v>23</v>
      </c>
      <c r="B95" s="3787"/>
      <c r="C95" s="3085" t="s">
        <v>2691</v>
      </c>
      <c r="D95" s="3085" t="s">
        <v>2692</v>
      </c>
      <c r="E95" s="3111">
        <v>0.15</v>
      </c>
      <c r="F95" s="3111">
        <v>20</v>
      </c>
    </row>
    <row r="96" spans="1:6" ht="13.5">
      <c r="A96" s="3111">
        <v>24</v>
      </c>
      <c r="B96" s="3787"/>
      <c r="C96" s="3085" t="s">
        <v>2693</v>
      </c>
      <c r="D96" s="3085" t="s">
        <v>2694</v>
      </c>
      <c r="E96" s="3111">
        <v>0.1</v>
      </c>
      <c r="F96" s="3111">
        <v>15</v>
      </c>
    </row>
    <row r="97" spans="1:6" ht="13.5">
      <c r="A97" s="3111">
        <v>25</v>
      </c>
      <c r="B97" s="3787"/>
      <c r="C97" s="3085" t="s">
        <v>2695</v>
      </c>
      <c r="D97" s="3085" t="s">
        <v>2696</v>
      </c>
      <c r="E97" s="3111">
        <v>0.1</v>
      </c>
      <c r="F97" s="3111">
        <v>15</v>
      </c>
    </row>
    <row r="98" spans="1:6" ht="24">
      <c r="A98" s="3111">
        <v>26</v>
      </c>
      <c r="B98" s="3787"/>
      <c r="C98" s="3085" t="s">
        <v>2697</v>
      </c>
      <c r="D98" s="3085" t="s">
        <v>2698</v>
      </c>
      <c r="E98" s="3111">
        <v>0.1</v>
      </c>
      <c r="F98" s="3111">
        <v>15</v>
      </c>
    </row>
    <row r="99" spans="1:6" ht="24">
      <c r="A99" s="3111">
        <v>27</v>
      </c>
      <c r="B99" s="3787"/>
      <c r="C99" s="3085" t="s">
        <v>2699</v>
      </c>
      <c r="D99" s="3085" t="s">
        <v>2700</v>
      </c>
      <c r="E99" s="3111">
        <v>0.1</v>
      </c>
      <c r="F99" s="3111">
        <v>15</v>
      </c>
    </row>
    <row r="100" spans="1:6" ht="13.5">
      <c r="A100" s="3111">
        <v>28</v>
      </c>
      <c r="B100" s="3787"/>
      <c r="C100" s="3085" t="s">
        <v>2701</v>
      </c>
      <c r="D100" s="3085" t="s">
        <v>2702</v>
      </c>
      <c r="E100" s="3111">
        <v>0.1</v>
      </c>
      <c r="F100" s="3111">
        <v>15</v>
      </c>
    </row>
    <row r="101" spans="1:6" ht="13.5">
      <c r="A101" s="3111">
        <v>29</v>
      </c>
      <c r="B101" s="3787"/>
      <c r="C101" s="3085" t="s">
        <v>2703</v>
      </c>
      <c r="D101" s="3085" t="s">
        <v>2704</v>
      </c>
      <c r="E101" s="3111">
        <v>0.1</v>
      </c>
      <c r="F101" s="3111">
        <v>15</v>
      </c>
    </row>
    <row r="102" spans="1:6" ht="13.5">
      <c r="A102" s="3111">
        <v>30</v>
      </c>
      <c r="B102" s="3787"/>
      <c r="C102" s="3085" t="s">
        <v>2705</v>
      </c>
      <c r="D102" s="3085" t="s">
        <v>2706</v>
      </c>
      <c r="E102" s="3111">
        <v>0.1</v>
      </c>
      <c r="F102" s="3111">
        <v>15</v>
      </c>
    </row>
    <row r="103" spans="1:6" ht="24">
      <c r="A103" s="3111">
        <v>31</v>
      </c>
      <c r="B103" s="3787"/>
      <c r="C103" s="3085" t="s">
        <v>2707</v>
      </c>
      <c r="D103" s="3085" t="s">
        <v>2708</v>
      </c>
      <c r="E103" s="3111">
        <v>0.1</v>
      </c>
      <c r="F103" s="3111">
        <v>15</v>
      </c>
    </row>
    <row r="104" spans="1:6" ht="24">
      <c r="A104" s="3111">
        <v>32</v>
      </c>
      <c r="B104" s="3787"/>
      <c r="C104" s="3085" t="s">
        <v>2709</v>
      </c>
      <c r="D104" s="3085" t="s">
        <v>2710</v>
      </c>
      <c r="E104" s="3111">
        <v>0.1</v>
      </c>
      <c r="F104" s="3111">
        <v>15</v>
      </c>
    </row>
    <row r="105" spans="1:6" ht="24">
      <c r="A105" s="3111">
        <v>33</v>
      </c>
      <c r="B105" s="3787"/>
      <c r="C105" s="3085" t="s">
        <v>2711</v>
      </c>
      <c r="D105" s="3085" t="s">
        <v>2712</v>
      </c>
      <c r="E105" s="3111">
        <v>0.1</v>
      </c>
      <c r="F105" s="3111">
        <v>15</v>
      </c>
    </row>
    <row r="106" spans="1:6" ht="24">
      <c r="A106" s="3111">
        <v>34</v>
      </c>
      <c r="B106" s="3786"/>
      <c r="C106" s="3085" t="s">
        <v>2713</v>
      </c>
      <c r="D106" s="3085" t="s">
        <v>2714</v>
      </c>
      <c r="E106" s="3111">
        <v>0.1</v>
      </c>
      <c r="F106" s="3111">
        <v>15</v>
      </c>
    </row>
    <row r="107" spans="1:6" ht="24">
      <c r="A107" s="3111">
        <v>35</v>
      </c>
      <c r="B107" s="3785" t="s">
        <v>2715</v>
      </c>
      <c r="C107" s="3111" t="s">
        <v>2716</v>
      </c>
      <c r="D107" s="3085" t="s">
        <v>2717</v>
      </c>
      <c r="E107" s="3111">
        <v>0.15</v>
      </c>
      <c r="F107" s="3111">
        <v>20</v>
      </c>
    </row>
    <row r="108" spans="1:6" ht="13.5">
      <c r="A108" s="3111">
        <v>36</v>
      </c>
      <c r="B108" s="3787"/>
      <c r="C108" s="3111" t="s">
        <v>2718</v>
      </c>
      <c r="D108" s="3085" t="s">
        <v>2719</v>
      </c>
      <c r="E108" s="3111">
        <v>0.15</v>
      </c>
      <c r="F108" s="3111">
        <v>20</v>
      </c>
    </row>
    <row r="109" spans="1:6" ht="13.5">
      <c r="A109" s="3111">
        <v>37</v>
      </c>
      <c r="B109" s="3787"/>
      <c r="C109" s="3111" t="s">
        <v>2720</v>
      </c>
      <c r="D109" s="3085" t="s">
        <v>2721</v>
      </c>
      <c r="E109" s="3111">
        <v>0.15</v>
      </c>
      <c r="F109" s="3111">
        <v>20</v>
      </c>
    </row>
    <row r="110" spans="1:6" ht="13.5">
      <c r="A110" s="3111">
        <v>38</v>
      </c>
      <c r="B110" s="3787"/>
      <c r="C110" s="3111" t="s">
        <v>2722</v>
      </c>
      <c r="D110" s="3085" t="s">
        <v>2723</v>
      </c>
      <c r="E110" s="3111">
        <v>0.1</v>
      </c>
      <c r="F110" s="3111">
        <v>15</v>
      </c>
    </row>
    <row r="111" spans="1:6" ht="24">
      <c r="A111" s="3111">
        <v>39</v>
      </c>
      <c r="B111" s="3787"/>
      <c r="C111" s="3111" t="s">
        <v>2724</v>
      </c>
      <c r="D111" s="3085" t="s">
        <v>2725</v>
      </c>
      <c r="E111" s="3111">
        <v>0.1</v>
      </c>
      <c r="F111" s="3111">
        <v>15</v>
      </c>
    </row>
    <row r="112" spans="1:6" ht="24">
      <c r="A112" s="3111">
        <v>40</v>
      </c>
      <c r="B112" s="3786"/>
      <c r="C112" s="3111" t="s">
        <v>2726</v>
      </c>
      <c r="D112" s="3085" t="s">
        <v>2727</v>
      </c>
      <c r="E112" s="3111">
        <v>0.1</v>
      </c>
      <c r="F112" s="3111">
        <v>15</v>
      </c>
    </row>
    <row r="113" spans="1:6" ht="13.5">
      <c r="A113" s="3111">
        <v>41</v>
      </c>
      <c r="B113" s="3784" t="s">
        <v>2728</v>
      </c>
      <c r="C113" s="3111" t="s">
        <v>2729</v>
      </c>
      <c r="D113" s="3085" t="s">
        <v>2730</v>
      </c>
      <c r="E113" s="3111">
        <v>0.1</v>
      </c>
      <c r="F113" s="3111">
        <v>15</v>
      </c>
    </row>
    <row r="114" spans="1:6" ht="13.5">
      <c r="A114" s="3111">
        <v>42</v>
      </c>
      <c r="B114" s="3784"/>
      <c r="C114" s="3111" t="s">
        <v>2731</v>
      </c>
      <c r="D114" s="3085" t="s">
        <v>2732</v>
      </c>
      <c r="E114" s="3111">
        <v>0.1</v>
      </c>
      <c r="F114" s="3111">
        <v>15</v>
      </c>
    </row>
    <row r="115" spans="1:6" ht="24">
      <c r="A115" s="3111">
        <v>43</v>
      </c>
      <c r="B115" s="3784"/>
      <c r="C115" s="3111" t="s">
        <v>2733</v>
      </c>
      <c r="D115" s="3085" t="s">
        <v>2734</v>
      </c>
      <c r="E115" s="3111">
        <v>0.1</v>
      </c>
      <c r="F115" s="3111">
        <v>15</v>
      </c>
    </row>
    <row r="116" spans="1:6" ht="13.5">
      <c r="A116" s="3111">
        <v>44</v>
      </c>
      <c r="B116" s="3785" t="s">
        <v>2735</v>
      </c>
      <c r="C116" s="3111" t="s">
        <v>2736</v>
      </c>
      <c r="D116" s="3085" t="s">
        <v>2737</v>
      </c>
      <c r="E116" s="3111">
        <v>0.1</v>
      </c>
      <c r="F116" s="3111">
        <v>15</v>
      </c>
    </row>
    <row r="117" spans="1:6" ht="24">
      <c r="A117" s="3111">
        <v>45</v>
      </c>
      <c r="B117" s="3786"/>
      <c r="C117" s="3085" t="s">
        <v>2738</v>
      </c>
      <c r="D117" s="3085" t="s">
        <v>2739</v>
      </c>
      <c r="E117" s="3111">
        <v>0.1</v>
      </c>
      <c r="F117" s="3111">
        <v>15</v>
      </c>
    </row>
    <row r="118" spans="1:6" ht="24">
      <c r="A118" s="3111">
        <v>46</v>
      </c>
      <c r="B118" s="3785" t="s">
        <v>2740</v>
      </c>
      <c r="C118" s="3111" t="s">
        <v>2741</v>
      </c>
      <c r="D118" s="3085" t="s">
        <v>2742</v>
      </c>
      <c r="E118" s="3111">
        <v>0.1</v>
      </c>
      <c r="F118" s="3111">
        <v>15</v>
      </c>
    </row>
    <row r="119" spans="1:6" ht="24">
      <c r="A119" s="3111">
        <v>47</v>
      </c>
      <c r="B119" s="3786"/>
      <c r="C119" s="3111" t="s">
        <v>2743</v>
      </c>
      <c r="D119" s="3085" t="s">
        <v>2744</v>
      </c>
      <c r="E119" s="3111">
        <v>0.1</v>
      </c>
      <c r="F119" s="3111">
        <v>15</v>
      </c>
    </row>
    <row r="120" spans="1:6" ht="13.5">
      <c r="A120" s="3111">
        <v>48</v>
      </c>
      <c r="B120" s="3785" t="s">
        <v>2745</v>
      </c>
      <c r="C120" s="3111" t="s">
        <v>2746</v>
      </c>
      <c r="D120" s="3085" t="s">
        <v>2747</v>
      </c>
      <c r="E120" s="3111">
        <v>0.1</v>
      </c>
      <c r="F120" s="3111">
        <v>15</v>
      </c>
    </row>
    <row r="121" spans="1:6" ht="13.5">
      <c r="A121" s="3111">
        <v>49</v>
      </c>
      <c r="B121" s="3786"/>
      <c r="C121" s="3111" t="s">
        <v>2748</v>
      </c>
      <c r="D121" s="3085" t="s">
        <v>2749</v>
      </c>
      <c r="E121" s="3111">
        <v>0.1</v>
      </c>
      <c r="F121" s="3111">
        <v>15</v>
      </c>
    </row>
    <row r="122" spans="1:6" ht="24">
      <c r="A122" s="3111">
        <v>50</v>
      </c>
      <c r="B122" s="3784" t="s">
        <v>2750</v>
      </c>
      <c r="C122" s="3111" t="s">
        <v>2751</v>
      </c>
      <c r="D122" s="3085" t="s">
        <v>2752</v>
      </c>
      <c r="E122" s="3111">
        <v>0.1</v>
      </c>
      <c r="F122" s="3111">
        <v>15</v>
      </c>
    </row>
    <row r="123" spans="1:6" ht="24">
      <c r="A123" s="3111">
        <v>51</v>
      </c>
      <c r="B123" s="3784"/>
      <c r="C123" s="3111" t="s">
        <v>2753</v>
      </c>
      <c r="D123" s="3085" t="s">
        <v>2754</v>
      </c>
      <c r="E123" s="3111">
        <v>0.1</v>
      </c>
      <c r="F123" s="3111">
        <v>15</v>
      </c>
    </row>
    <row r="124" spans="1:6" ht="24">
      <c r="A124" s="3111">
        <v>52</v>
      </c>
      <c r="B124" s="3784" t="s">
        <v>2755</v>
      </c>
      <c r="C124" s="3111" t="s">
        <v>2756</v>
      </c>
      <c r="D124" s="3085" t="s">
        <v>2757</v>
      </c>
      <c r="E124" s="3111">
        <v>0.1</v>
      </c>
      <c r="F124" s="3111">
        <v>15</v>
      </c>
    </row>
    <row r="125" spans="1:6" ht="24">
      <c r="A125" s="3111">
        <v>53</v>
      </c>
      <c r="B125" s="3784"/>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84" t="s">
        <v>2763</v>
      </c>
      <c r="C127" s="3111" t="s">
        <v>2764</v>
      </c>
      <c r="D127" s="3085" t="s">
        <v>2765</v>
      </c>
      <c r="E127" s="3111">
        <v>0.1</v>
      </c>
      <c r="F127" s="3111">
        <v>15</v>
      </c>
    </row>
    <row r="128" spans="1:6" ht="13.5">
      <c r="A128" s="3111">
        <v>56</v>
      </c>
      <c r="B128" s="3784"/>
      <c r="C128" s="3111" t="s">
        <v>2766</v>
      </c>
      <c r="D128" s="3085" t="s">
        <v>2767</v>
      </c>
      <c r="E128" s="3111">
        <v>0.1</v>
      </c>
      <c r="F128" s="3111">
        <v>15</v>
      </c>
    </row>
    <row r="129" spans="1:6" ht="24">
      <c r="A129" s="3111">
        <v>57</v>
      </c>
      <c r="B129" s="3784"/>
      <c r="C129" s="3111" t="s">
        <v>2768</v>
      </c>
      <c r="D129" s="3085" t="s">
        <v>2769</v>
      </c>
      <c r="E129" s="3111">
        <v>0.1</v>
      </c>
      <c r="F129" s="3111">
        <v>15</v>
      </c>
    </row>
    <row r="130" spans="1:6" ht="24">
      <c r="A130" s="3111">
        <v>58</v>
      </c>
      <c r="B130" s="3784" t="s">
        <v>2770</v>
      </c>
      <c r="C130" s="3111" t="s">
        <v>2771</v>
      </c>
      <c r="D130" s="3085" t="s">
        <v>2772</v>
      </c>
      <c r="E130" s="3111">
        <v>0.1</v>
      </c>
      <c r="F130" s="3111">
        <v>15</v>
      </c>
    </row>
    <row r="131" spans="1:6" ht="13.5">
      <c r="A131" s="3111">
        <v>59</v>
      </c>
      <c r="B131" s="3784"/>
      <c r="C131" s="3111" t="s">
        <v>2773</v>
      </c>
      <c r="D131" s="3085" t="s">
        <v>2774</v>
      </c>
      <c r="E131" s="3111">
        <v>0.1</v>
      </c>
      <c r="F131" s="3111">
        <v>15</v>
      </c>
    </row>
    <row r="132" spans="1:6" ht="13.5">
      <c r="A132" s="3111">
        <v>60</v>
      </c>
      <c r="B132" s="3785" t="s">
        <v>2775</v>
      </c>
      <c r="C132" s="3111" t="s">
        <v>2776</v>
      </c>
      <c r="D132" s="3085" t="s">
        <v>2777</v>
      </c>
      <c r="E132" s="3111">
        <v>0.1</v>
      </c>
      <c r="F132" s="3111">
        <v>15</v>
      </c>
    </row>
    <row r="133" spans="1:6" ht="13.5">
      <c r="A133" s="3111">
        <v>61</v>
      </c>
      <c r="B133" s="3786"/>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84" t="s">
        <v>2783</v>
      </c>
      <c r="C135" s="3111" t="s">
        <v>2784</v>
      </c>
      <c r="D135" s="3085" t="s">
        <v>2785</v>
      </c>
      <c r="E135" s="3111">
        <v>0.1</v>
      </c>
      <c r="F135" s="3111">
        <v>15</v>
      </c>
    </row>
    <row r="136" spans="1:6" ht="13.5">
      <c r="A136" s="3111">
        <v>64</v>
      </c>
      <c r="B136" s="3784"/>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2792</v>
      </c>
      <c r="B1" s="3120"/>
      <c r="C1" s="3120"/>
      <c r="D1" s="3120"/>
      <c r="E1" s="3120"/>
      <c r="F1" s="3120"/>
      <c r="G1" s="3120"/>
      <c r="H1" s="3120"/>
      <c r="I1" s="3120"/>
      <c r="J1" s="3120"/>
      <c r="K1" s="3120"/>
      <c r="L1" s="3120"/>
      <c r="M1" s="3120"/>
      <c r="N1" s="747"/>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48">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48">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29104</v>
      </c>
      <c r="C2" s="2" t="s">
        <v>106</v>
      </c>
      <c r="D2" s="199"/>
      <c r="E2" s="199"/>
      <c r="F2" s="199"/>
      <c r="G2" s="199"/>
    </row>
    <row r="3" spans="1:7" s="200" customFormat="1" ht="18" customHeight="1" thickBot="1">
      <c r="A3" s="203" t="s">
        <v>58</v>
      </c>
      <c r="B3" s="204">
        <f ca="1">ROUND(B2*10000/'数据-汇总表'!E3,0)</f>
        <v>84220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69</v>
      </c>
      <c r="D10" s="843">
        <f>'数据-汇总表'!E6</f>
        <v>3455.7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69</v>
      </c>
      <c r="D19" s="847">
        <f>'数据-汇总表'!E3</f>
        <v>3455.7</v>
      </c>
      <c r="E19" s="211">
        <f>'数据-取费表'!B31</f>
        <v>200</v>
      </c>
      <c r="F19" s="231"/>
      <c r="G19" s="1" t="s">
        <v>436</v>
      </c>
    </row>
    <row r="20" spans="1:7" s="214" customFormat="1" ht="13.5" customHeight="1">
      <c r="A20" s="775" t="s">
        <v>419</v>
      </c>
      <c r="B20" s="210" t="s">
        <v>77</v>
      </c>
      <c r="C20" s="232">
        <f>ROUND((C5+C19)*F20,0)</f>
        <v>310</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1765</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6</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3148</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3148</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1209</v>
      </c>
      <c r="D34" s="217"/>
      <c r="E34" s="220"/>
      <c r="F34" s="257">
        <f>IF('数据-取费表'!B24=0,1,'数据-取费表'!N16)</f>
        <v>1</v>
      </c>
      <c r="G34" s="219" t="s">
        <v>89</v>
      </c>
    </row>
    <row r="35" spans="1:7" ht="13.5" customHeight="1">
      <c r="A35" s="778" t="s">
        <v>351</v>
      </c>
      <c r="B35" s="215" t="s">
        <v>33</v>
      </c>
      <c r="C35" s="220">
        <f>ROUND(C34*F35,0)</f>
        <v>36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69</v>
      </c>
      <c r="D37" s="217">
        <f>'数据-汇总表'!E3</f>
        <v>3455.7</v>
      </c>
      <c r="E37" s="249">
        <f>'数据-取费表'!B35</f>
        <v>200</v>
      </c>
      <c r="F37" s="259"/>
      <c r="G37" s="261" t="s">
        <v>92</v>
      </c>
    </row>
    <row r="38" spans="1:7" ht="13.5" customHeight="1">
      <c r="A38" s="778" t="s">
        <v>354</v>
      </c>
      <c r="B38" s="215" t="s">
        <v>36</v>
      </c>
      <c r="C38" s="220">
        <f>ROUND(C34*F38,0)</f>
        <v>18</v>
      </c>
      <c r="D38" s="220"/>
      <c r="E38" s="220"/>
      <c r="F38" s="259">
        <f>'数据-取费表'!B36</f>
        <v>1.4999999999999999E-2</v>
      </c>
      <c r="G38" s="219" t="s">
        <v>90</v>
      </c>
    </row>
    <row r="39" spans="1:7" s="214" customFormat="1" ht="13.5" customHeight="1">
      <c r="A39" s="775" t="s">
        <v>338</v>
      </c>
      <c r="B39" s="210" t="s">
        <v>77</v>
      </c>
      <c r="C39" s="232">
        <f>ROUND(C33*F20,0)</f>
        <v>20</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56</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55</v>
      </c>
      <c r="D42" s="238"/>
      <c r="E42" s="238"/>
      <c r="F42" s="239"/>
      <c r="G42" s="3670" t="s">
        <v>94</v>
      </c>
    </row>
    <row r="43" spans="1:7" ht="13.5" customHeight="1">
      <c r="A43" s="778" t="s">
        <v>347</v>
      </c>
      <c r="B43" s="215" t="s">
        <v>426</v>
      </c>
      <c r="C43" s="238">
        <f ca="1">ROUND(IF('数据-取费表'!B22&lt;=1,C39*F22*'数据-取费表'!B21/2,C39*(POWER((1+F22),'数据-取费表'!B21/2)-1)),0)</f>
        <v>1</v>
      </c>
      <c r="D43" s="238"/>
      <c r="E43" s="238"/>
      <c r="F43" s="239"/>
      <c r="G43" s="3671"/>
    </row>
    <row r="44" spans="1:7" ht="13.5" customHeight="1">
      <c r="A44" s="778" t="s">
        <v>348</v>
      </c>
      <c r="B44" s="215" t="s">
        <v>428</v>
      </c>
      <c r="C44" s="238">
        <f ca="1">ROUND(IF('数据-取费表'!B22&lt;=1,C40*F22*'数据-取费表'!B21/2,C40*(POWER((1+F22),'数据-取费表'!B21/2)-1)),4)</f>
        <v>5.9999999999999995E-4</v>
      </c>
      <c r="D44" s="238"/>
      <c r="E44" s="238"/>
      <c r="F44" s="239"/>
      <c r="G44" s="3672"/>
    </row>
    <row r="45" spans="1:7" s="214" customFormat="1" ht="13.5" customHeight="1">
      <c r="A45" s="775" t="s">
        <v>341</v>
      </c>
      <c r="B45" s="244" t="s">
        <v>85</v>
      </c>
      <c r="C45" s="245">
        <f>C46</f>
        <v>203</v>
      </c>
      <c r="D45" s="235">
        <f>C47</f>
        <v>2.3E-3</v>
      </c>
      <c r="E45" s="236" t="s">
        <v>102</v>
      </c>
      <c r="F45" s="246"/>
      <c r="G45" s="247" t="s">
        <v>434</v>
      </c>
    </row>
    <row r="46" spans="1:7" s="214" customFormat="1" ht="13.5" customHeight="1">
      <c r="A46" s="778" t="s">
        <v>349</v>
      </c>
      <c r="B46" s="248" t="s">
        <v>427</v>
      </c>
      <c r="C46" s="249">
        <f>ROUND((C33+C39)*F27,0)</f>
        <v>203</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1735</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1215</v>
      </c>
      <c r="D51" s="232"/>
      <c r="E51" s="232"/>
      <c r="F51" s="264"/>
      <c r="G51" s="234" t="s">
        <v>37</v>
      </c>
    </row>
    <row r="52" spans="1:7" s="208" customFormat="1" ht="16.5" thickBot="1">
      <c r="A52" s="265" t="s">
        <v>38</v>
      </c>
      <c r="B52" s="266"/>
      <c r="C52" s="267">
        <f ca="1">C31+C51</f>
        <v>29104</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D90" sqref="D9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9832</v>
      </c>
      <c r="C2" s="1385" t="s">
        <v>805</v>
      </c>
      <c r="D2" s="1385"/>
      <c r="E2" s="1386"/>
      <c r="F2" s="1387"/>
      <c r="G2" s="2699"/>
      <c r="H2" s="2688"/>
      <c r="I2" s="2688"/>
      <c r="J2" s="2688"/>
      <c r="K2" s="2689"/>
      <c r="L2" s="2688"/>
      <c r="M2" s="2688"/>
    </row>
    <row r="3" spans="1:37" ht="18" customHeight="1" thickBot="1">
      <c r="A3" s="1388" t="s">
        <v>806</v>
      </c>
      <c r="B3" s="1389">
        <f ca="1">IF(ISERROR(B2*10000/F43),0,ROUND(B2*10000/F43,0))</f>
        <v>28452</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773</v>
      </c>
      <c r="D5" s="1362" t="s">
        <v>693</v>
      </c>
      <c r="E5" s="1069"/>
      <c r="F5" s="1070"/>
      <c r="G5" s="1382"/>
      <c r="H5" s="299">
        <v>1</v>
      </c>
      <c r="I5" s="300" t="s">
        <v>692</v>
      </c>
      <c r="J5" s="1068">
        <f ca="1">J6+J10+J12</f>
        <v>0</v>
      </c>
      <c r="K5" s="1362" t="s">
        <v>693</v>
      </c>
      <c r="L5" s="1069"/>
      <c r="M5" s="1070"/>
    </row>
    <row r="6" spans="1:37" ht="18" customHeight="1">
      <c r="A6" s="1067" t="s">
        <v>398</v>
      </c>
      <c r="B6" s="3798" t="s">
        <v>694</v>
      </c>
      <c r="C6" s="1072">
        <f ca="1">ROUND(F6*F8*F7*(1-F9)/10000,0)</f>
        <v>772</v>
      </c>
      <c r="D6" s="155" t="s">
        <v>2104</v>
      </c>
      <c r="E6" s="302" t="s">
        <v>696</v>
      </c>
      <c r="F6" s="303">
        <f ca="1">INDIRECT("'数据-取费表'!u"&amp;$G$1)</f>
        <v>6.8</v>
      </c>
      <c r="G6" s="1382"/>
      <c r="H6" s="1067" t="s">
        <v>398</v>
      </c>
      <c r="I6" s="3798" t="s">
        <v>694</v>
      </c>
      <c r="J6" s="301">
        <f ca="1">ROUND(M6*M8*M7*(1-M9)/10000,0)</f>
        <v>0</v>
      </c>
      <c r="K6" s="155" t="s">
        <v>2103</v>
      </c>
      <c r="L6" s="302" t="s">
        <v>696</v>
      </c>
      <c r="M6" s="303">
        <f ca="1">INDIRECT("'数据-取费表'!z"&amp;$G$1)</f>
        <v>0</v>
      </c>
    </row>
    <row r="7" spans="1:37" ht="18" customHeight="1">
      <c r="A7" s="1071"/>
      <c r="B7" s="3799"/>
      <c r="C7" s="1073"/>
      <c r="D7" s="307"/>
      <c r="E7" s="1074" t="s">
        <v>697</v>
      </c>
      <c r="F7" s="303">
        <f ca="1">IF(INDIRECT("'数据-取费表'!ah"&amp;$G$1)="",INDIRECT("'数据-取费表'!k"&amp;$G$1),INDIRECT("'数据-取费表'!ah"&amp;$G$1))</f>
        <v>3455.7</v>
      </c>
      <c r="G7" s="1382"/>
      <c r="H7" s="304"/>
      <c r="I7" s="3799"/>
      <c r="J7" s="306"/>
      <c r="K7" s="307"/>
      <c r="L7" s="302" t="s">
        <v>697</v>
      </c>
      <c r="M7" s="303">
        <f ca="1">F7</f>
        <v>3455.7</v>
      </c>
    </row>
    <row r="8" spans="1:37" ht="18" customHeight="1">
      <c r="A8" s="304"/>
      <c r="B8" s="3799"/>
      <c r="C8" s="306"/>
      <c r="D8" s="307"/>
      <c r="E8" s="302" t="s">
        <v>698</v>
      </c>
      <c r="F8" s="303">
        <f ca="1">INDIRECT("'数据-取费表'!ai"&amp;$G$1)</f>
        <v>365</v>
      </c>
      <c r="G8" s="1382"/>
      <c r="H8" s="304"/>
      <c r="I8" s="3799"/>
      <c r="J8" s="306"/>
      <c r="K8" s="307"/>
      <c r="L8" s="302" t="s">
        <v>698</v>
      </c>
      <c r="M8" s="303">
        <f ca="1">INDIRECT("'数据-取费表'!ai"&amp;$G$1)</f>
        <v>365</v>
      </c>
    </row>
    <row r="9" spans="1:37" ht="18" customHeight="1">
      <c r="A9" s="304"/>
      <c r="B9" s="3800"/>
      <c r="C9" s="306"/>
      <c r="D9" s="307"/>
      <c r="E9" s="302" t="s">
        <v>699</v>
      </c>
      <c r="F9" s="312">
        <f ca="1">INDIRECT("'数据-取费表'!w"&amp;$G$1)</f>
        <v>0.1</v>
      </c>
      <c r="G9" s="1382"/>
      <c r="H9" s="304"/>
      <c r="I9" s="3800"/>
      <c r="J9" s="306"/>
      <c r="K9" s="307"/>
      <c r="L9" s="313" t="s">
        <v>699</v>
      </c>
      <c r="M9" s="314">
        <f ca="1">INDIRECT("'数据-取费表'!ab"&amp;$G$1)</f>
        <v>0</v>
      </c>
    </row>
    <row r="10" spans="1:37" ht="18" customHeight="1">
      <c r="A10" s="1067" t="s">
        <v>402</v>
      </c>
      <c r="B10" s="1363" t="s">
        <v>700</v>
      </c>
      <c r="C10" s="316">
        <f ca="1">ROUND(IF(F10="押一",C6/12*F11,IF(F10="押二",C6/12*2*F11,IF(F10="押三",C6/12*3*F11,C11*F11))),0)</f>
        <v>1</v>
      </c>
      <c r="D10" s="1364" t="s">
        <v>2112</v>
      </c>
      <c r="E10" s="313" t="s">
        <v>701</v>
      </c>
      <c r="F10" s="1114" t="s">
        <v>3389</v>
      </c>
      <c r="G10" s="1382"/>
      <c r="H10" s="1067" t="s">
        <v>402</v>
      </c>
      <c r="I10" s="1363" t="s">
        <v>700</v>
      </c>
      <c r="J10" s="301">
        <f ca="1">ROUND(IF(M10="押一",J6/12*M11,IF(M10="押二",J6/12*2*M11,IF(M10="押三",J6/12*3*M11,J11*M11))),0)</f>
        <v>0</v>
      </c>
      <c r="K10" s="1364" t="s">
        <v>2111</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1214</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1209</v>
      </c>
      <c r="D14" s="1343" t="s">
        <v>708</v>
      </c>
      <c r="E14" s="1340"/>
      <c r="F14" s="319"/>
      <c r="G14" s="1382"/>
      <c r="H14" s="980" t="s">
        <v>398</v>
      </c>
      <c r="I14" s="302" t="s">
        <v>709</v>
      </c>
      <c r="J14" s="21">
        <f ca="1">C29</f>
        <v>1734</v>
      </c>
      <c r="K14" s="12"/>
      <c r="L14" s="805"/>
      <c r="M14" s="806"/>
    </row>
    <row r="15" spans="1:37" s="1395" customFormat="1" ht="18" customHeight="1" thickBot="1">
      <c r="A15" s="980" t="s">
        <v>399</v>
      </c>
      <c r="B15" s="302" t="s">
        <v>710</v>
      </c>
      <c r="C15" s="21">
        <f ca="1">ROUND(C14*F15,0)</f>
        <v>36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19</v>
      </c>
      <c r="K16" s="1085" t="s">
        <v>715</v>
      </c>
      <c r="L16" s="1086"/>
      <c r="M16" s="1070"/>
    </row>
    <row r="17" spans="1:37" s="1395" customFormat="1" ht="18" customHeight="1">
      <c r="A17" s="980" t="s">
        <v>681</v>
      </c>
      <c r="B17" s="302" t="s">
        <v>716</v>
      </c>
      <c r="C17" s="21">
        <f ca="1">ROUND(F17*(F43+INDIRECT("'数据-取费表'!S"&amp;$G$1))/10000,0)</f>
        <v>69</v>
      </c>
      <c r="D17" s="302" t="s">
        <v>717</v>
      </c>
      <c r="E17" s="302" t="s">
        <v>718</v>
      </c>
      <c r="F17" s="23">
        <f>'数据-取费表'!B35</f>
        <v>200</v>
      </c>
      <c r="G17" s="1394"/>
      <c r="H17" s="980" t="s">
        <v>398</v>
      </c>
      <c r="I17" s="302" t="s">
        <v>719</v>
      </c>
      <c r="J17" s="2314">
        <f ca="1">ROUND(IF(AND(项目基本情况!B11="自然人",项目基本情况!B10="北京市"),J6*M17/(1+'数据-取费表'!C42),J18+J19+J20),2)</f>
        <v>1.19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18</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1332</v>
      </c>
      <c r="D19" s="131" t="s">
        <v>726</v>
      </c>
      <c r="E19" s="1358"/>
      <c r="F19" s="23"/>
      <c r="G19" s="1382"/>
      <c r="H19" s="980" t="s">
        <v>399</v>
      </c>
      <c r="I19" s="302" t="s">
        <v>727</v>
      </c>
      <c r="J19" s="21">
        <f ca="1">IF(K19="按租金收入计税",ROUND(J6*M19/(1+'数据-取费表'!C42),2),ROUND(C29*M19*0.7,2))</f>
        <v>0</v>
      </c>
      <c r="K19" s="1368" t="s">
        <v>3336</v>
      </c>
      <c r="L19" s="302" t="s">
        <v>712</v>
      </c>
      <c r="M19" s="322">
        <f>IF(K19="按租金收入计税",'数据-取费表'!B51,'数据-取费表'!B50)</f>
        <v>0.12</v>
      </c>
    </row>
    <row r="20" spans="1:37" s="1395" customFormat="1" ht="18" customHeight="1">
      <c r="A20" s="980" t="s">
        <v>402</v>
      </c>
      <c r="B20" s="302" t="s">
        <v>728</v>
      </c>
      <c r="C20" s="21">
        <f ca="1">ROUND(C19*F20,0)</f>
        <v>20</v>
      </c>
      <c r="D20" s="323" t="s">
        <v>729</v>
      </c>
      <c r="E20" s="302" t="s">
        <v>712</v>
      </c>
      <c r="F20" s="322">
        <f>'数据-取费表'!B37</f>
        <v>1.4999999999999999E-2</v>
      </c>
      <c r="G20" s="1394"/>
      <c r="H20" s="980" t="s">
        <v>680</v>
      </c>
      <c r="I20" s="155" t="s">
        <v>730</v>
      </c>
      <c r="J20" s="22">
        <f ca="1">ROUND(M20*M21/10000,2)</f>
        <v>1.19</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396.01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17.34</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-19</v>
      </c>
      <c r="K25" s="1093" t="s">
        <v>753</v>
      </c>
      <c r="L25" s="1094"/>
      <c r="M25" s="1095"/>
    </row>
    <row r="26" spans="1:37">
      <c r="A26" s="980" t="s">
        <v>397</v>
      </c>
      <c r="B26" s="302" t="s">
        <v>754</v>
      </c>
      <c r="C26" s="21">
        <f ca="1">ROUND((C19+C20)*F26,0)</f>
        <v>203</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1734</v>
      </c>
      <c r="D29" s="1090"/>
      <c r="E29" s="1088"/>
      <c r="F29" s="1091"/>
      <c r="G29" s="1394"/>
      <c r="H29" s="334" t="s">
        <v>396</v>
      </c>
      <c r="I29" s="335" t="s">
        <v>768</v>
      </c>
      <c r="J29" s="336">
        <f ca="1">ROUND(J26/(1+F40)^F41,0)</f>
        <v>0</v>
      </c>
      <c r="K29" s="337" t="s">
        <v>769</v>
      </c>
      <c r="L29" s="338"/>
      <c r="M29" s="339">
        <f ca="1">INDIRECT("'数据-取费表'!k"&amp;$G$1)</f>
        <v>3455.7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157</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130.59</v>
      </c>
      <c r="D31" s="1343" t="s">
        <v>720</v>
      </c>
      <c r="E31" s="1342" t="s">
        <v>770</v>
      </c>
      <c r="F31" s="2313" t="str">
        <f>IF(项目基本情况!B11="企业","——",IF(M47="住宅",IF(F6*F7*F8/12/(1+'数据-取费表'!F30)&gt;100000,4%,2.5%),IF(F6*F7*F8/12/(1+'数据-取费表'!F30)&gt;100000,12%,7%)))</f>
        <v>——</v>
      </c>
      <c r="G31" s="1382"/>
      <c r="H31" s="2801" t="s">
        <v>2301</v>
      </c>
      <c r="I31" s="1396"/>
      <c r="J31" s="1397"/>
      <c r="K31" s="2469"/>
      <c r="L31" s="2691"/>
      <c r="M31" s="2692"/>
    </row>
    <row r="32" spans="1:37" ht="18" customHeight="1">
      <c r="A32" s="980" t="s">
        <v>397</v>
      </c>
      <c r="B32" s="302" t="s">
        <v>723</v>
      </c>
      <c r="C32" s="21">
        <f ca="1">IF(项目基本情况!B11="自然人","——",ROUND(C6*F32/(1+'数据-取费表'!C42),2))</f>
        <v>41.17</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88.23</v>
      </c>
      <c r="D33" s="1368" t="s">
        <v>3336</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1.19</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396.01</v>
      </c>
      <c r="G35" s="1382"/>
      <c r="H35" s="2690"/>
      <c r="I35" s="1396"/>
      <c r="J35" s="1397"/>
      <c r="K35" s="2694"/>
      <c r="L35" s="2693"/>
      <c r="M35" s="2693"/>
    </row>
    <row r="36" spans="1:18" ht="18" customHeight="1">
      <c r="A36" s="1100" t="s">
        <v>402</v>
      </c>
      <c r="B36" s="302" t="s">
        <v>738</v>
      </c>
      <c r="C36" s="21">
        <f ca="1">ROUND(C29*F36,2)</f>
        <v>17.34</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ROUND(C13*F37,2)</f>
        <v>1.82</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ROUND(C5*F38,2)</f>
        <v>7.73</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616</v>
      </c>
      <c r="D39" s="1093" t="s">
        <v>773</v>
      </c>
      <c r="E39" s="1094"/>
      <c r="F39" s="1095"/>
      <c r="G39" s="1382"/>
      <c r="H39" s="2693"/>
      <c r="I39" s="1396"/>
      <c r="J39" s="1397"/>
      <c r="K39" s="2697"/>
      <c r="L39" s="2693"/>
      <c r="M39" s="2693"/>
    </row>
    <row r="40" spans="1:18" ht="18" customHeight="1">
      <c r="A40" s="299" t="s">
        <v>395</v>
      </c>
      <c r="B40" s="300" t="s">
        <v>774</v>
      </c>
      <c r="C40" s="301">
        <f ca="1">ROUND(C39*(1-((1+F42)/(1+F40))^F41)/(F40-F42),0)</f>
        <v>9678</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20.8</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28006</v>
      </c>
      <c r="D43" s="337" t="s">
        <v>777</v>
      </c>
      <c r="E43" s="338" t="s">
        <v>778</v>
      </c>
      <c r="F43" s="339">
        <f ca="1">INDIRECT("'数据-取费表'!k"&amp;$G$1)</f>
        <v>3455.7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-9922</v>
      </c>
      <c r="D46" s="1404" t="str">
        <f>C2</f>
        <v>万元</v>
      </c>
      <c r="E46" s="1398"/>
      <c r="F46" s="1398"/>
      <c r="I46" s="1405" t="s">
        <v>810</v>
      </c>
      <c r="J46" s="1406"/>
      <c r="K46" s="1407"/>
      <c r="L46" s="1408">
        <f ca="1">IF(M47="住宅",0,IF(L48&gt;J51,L60,J60))</f>
        <v>154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9678</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20.8</v>
      </c>
      <c r="O48" s="1416" t="s">
        <v>404</v>
      </c>
      <c r="P48" s="1417" t="s">
        <v>821</v>
      </c>
      <c r="Q48" s="1418">
        <f ca="1">J60</f>
        <v>154</v>
      </c>
      <c r="R48" s="1418" t="s">
        <v>822</v>
      </c>
    </row>
    <row r="49" spans="1:18" s="1382" customFormat="1" ht="13.5" thickBot="1">
      <c r="A49" s="973" t="s">
        <v>439</v>
      </c>
      <c r="B49" s="1369" t="s">
        <v>779</v>
      </c>
      <c r="C49" s="1112">
        <f ca="1">ROUND(F49*F51*F50*(1-F52)/10000,0)</f>
        <v>0</v>
      </c>
      <c r="D49" s="1053" t="s">
        <v>2105</v>
      </c>
      <c r="E49" s="1370" t="s">
        <v>780</v>
      </c>
      <c r="F49" s="1058"/>
      <c r="G49" s="1423"/>
      <c r="H49" s="721"/>
      <c r="I49" s="1419" t="s">
        <v>823</v>
      </c>
      <c r="J49" s="1424">
        <v>1996</v>
      </c>
      <c r="K49" s="1421" t="s">
        <v>824</v>
      </c>
      <c r="L49" s="1425"/>
      <c r="O49" s="1426" t="s">
        <v>405</v>
      </c>
      <c r="P49" s="1417" t="s">
        <v>825</v>
      </c>
      <c r="Q49" s="1418">
        <f ca="1">C29</f>
        <v>1734</v>
      </c>
      <c r="R49" s="1418" t="s">
        <v>818</v>
      </c>
    </row>
    <row r="50" spans="1:18" s="1382" customFormat="1" ht="13.5" thickBot="1">
      <c r="A50" s="974"/>
      <c r="B50" s="977"/>
      <c r="C50" s="1116"/>
      <c r="D50" s="951"/>
      <c r="E50" s="1054" t="s">
        <v>697</v>
      </c>
      <c r="F50" s="1055">
        <f ca="1">F7</f>
        <v>3455.7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33</v>
      </c>
      <c r="K51" s="1432" t="s">
        <v>830</v>
      </c>
      <c r="L51" s="1433">
        <f ca="1">ROUND(-PV(INDIRECT("'数据-取费表'!h"&amp;$G$1),J51,(C39-C13*C76),0),0)</f>
        <v>8303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v>
      </c>
      <c r="R52" s="1418" t="s">
        <v>835</v>
      </c>
    </row>
    <row r="53" spans="1:18" s="1382" customFormat="1" ht="24.75" thickBot="1">
      <c r="A53" s="1150" t="s">
        <v>440</v>
      </c>
      <c r="B53" s="1371" t="s">
        <v>700</v>
      </c>
      <c r="C53" s="316">
        <f ca="1">ROUND(IF(F53="押一",C49/12*F11,IF(F53="押二",C49/12*2*F11,IF(F53="押三",C49/12*3*F11,C54*F11))),0)</f>
        <v>0</v>
      </c>
      <c r="D53" s="1364" t="s">
        <v>2111</v>
      </c>
      <c r="E53" s="313" t="s">
        <v>701</v>
      </c>
      <c r="F53" s="1114"/>
      <c r="I53" s="1437" t="s">
        <v>836</v>
      </c>
      <c r="J53" s="2166">
        <f ca="1">IF(M47="住宅",IF(D1="——",MAX(J51,L48),MAX(J51,L48-'数据-取费表'!B24)),IF(D1="——",MIN(J51,L48),MIN(J51,L48-'数据-取费表'!B24)))</f>
        <v>20.8</v>
      </c>
      <c r="K53" s="3796" t="s">
        <v>837</v>
      </c>
      <c r="L53" s="3797"/>
      <c r="O53" s="1416" t="s">
        <v>409</v>
      </c>
      <c r="P53" s="1417" t="s">
        <v>838</v>
      </c>
      <c r="Q53" s="1418">
        <f ca="1">Q47+Q48</f>
        <v>9832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0.20300000000000001</v>
      </c>
      <c r="K55" s="1443" t="s">
        <v>841</v>
      </c>
      <c r="L55" s="1444"/>
      <c r="O55" s="1409" t="s">
        <v>811</v>
      </c>
      <c r="P55" s="1410" t="s">
        <v>812</v>
      </c>
      <c r="Q55" s="1411" t="s">
        <v>813</v>
      </c>
      <c r="R55" s="1411" t="s">
        <v>814</v>
      </c>
    </row>
    <row r="56" spans="1:18" s="1382" customFormat="1" ht="25.5" thickTop="1" thickBot="1">
      <c r="A56" s="955">
        <v>2</v>
      </c>
      <c r="B56" s="956" t="s">
        <v>704</v>
      </c>
      <c r="C56" s="232">
        <f ca="1">C13</f>
        <v>1214</v>
      </c>
      <c r="D56" s="1445"/>
      <c r="E56" s="1446"/>
      <c r="F56" s="1438"/>
      <c r="I56" s="1447" t="s">
        <v>842</v>
      </c>
      <c r="J56" s="1448" t="s">
        <v>3369</v>
      </c>
      <c r="K56" s="1419" t="s">
        <v>843</v>
      </c>
      <c r="L56" s="1422" t="str">
        <f ca="1">IF(L48&lt;J51,"——",L48-J53)</f>
        <v>——</v>
      </c>
      <c r="O56" s="1416" t="s">
        <v>403</v>
      </c>
      <c r="P56" s="1417" t="s">
        <v>817</v>
      </c>
      <c r="Q56" s="1418">
        <f ca="1">C40+J29</f>
        <v>9678</v>
      </c>
      <c r="R56" s="1418" t="s">
        <v>818</v>
      </c>
    </row>
    <row r="57" spans="1:18" s="1382" customFormat="1" ht="24.75" thickBot="1">
      <c r="A57" s="1449"/>
      <c r="B57" s="948" t="s">
        <v>767</v>
      </c>
      <c r="C57" s="238">
        <f ca="1">C29</f>
        <v>1734</v>
      </c>
      <c r="D57" s="1450"/>
      <c r="E57" s="1451"/>
      <c r="F57" s="1452"/>
      <c r="I57" s="1453" t="s">
        <v>844</v>
      </c>
      <c r="J57" s="1454">
        <f ca="1">IF(OR(M47="住宅",J51&lt;L48,J56="是"),"——",J51-L48)</f>
        <v>12.2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154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1.19</v>
      </c>
      <c r="D62" s="963" t="s">
        <v>786</v>
      </c>
      <c r="E62" s="948" t="s">
        <v>787</v>
      </c>
      <c r="F62" s="325">
        <f t="shared" si="0"/>
        <v>30</v>
      </c>
      <c r="I62" s="1460" t="s">
        <v>858</v>
      </c>
      <c r="J62" s="1461" t="s">
        <v>859</v>
      </c>
      <c r="K62" s="1461" t="s">
        <v>860</v>
      </c>
      <c r="L62" s="1461" t="s">
        <v>861</v>
      </c>
      <c r="M62" s="1462" t="s">
        <v>862</v>
      </c>
      <c r="O62" s="1416" t="s">
        <v>409</v>
      </c>
      <c r="P62" s="1417" t="s">
        <v>863</v>
      </c>
      <c r="Q62" s="1418">
        <f ca="1">Q56+Q57</f>
        <v>9678</v>
      </c>
      <c r="R62" s="1418" t="s">
        <v>410</v>
      </c>
    </row>
    <row r="63" spans="1:18" s="1382" customFormat="1" ht="13.5" thickBot="1">
      <c r="A63" s="326"/>
      <c r="B63" s="954"/>
      <c r="C63" s="26"/>
      <c r="D63" s="964"/>
      <c r="E63" s="948" t="s">
        <v>788</v>
      </c>
      <c r="F63" s="303">
        <f t="shared" ca="1" si="0"/>
        <v>396.01</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17.34</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1.82</v>
      </c>
      <c r="D65" s="962" t="s">
        <v>743</v>
      </c>
      <c r="E65" s="948" t="s">
        <v>744</v>
      </c>
      <c r="F65" s="330">
        <f t="shared" ca="1" si="0"/>
        <v>1.5E-3</v>
      </c>
      <c r="I65" s="1460" t="s">
        <v>867</v>
      </c>
      <c r="J65" s="1461">
        <v>40</v>
      </c>
      <c r="K65" s="1461">
        <v>30</v>
      </c>
      <c r="L65" s="1461">
        <v>50</v>
      </c>
      <c r="M65" s="1463">
        <v>0.02</v>
      </c>
      <c r="O65" s="1416" t="s">
        <v>403</v>
      </c>
      <c r="P65" s="1417" t="s">
        <v>868</v>
      </c>
      <c r="Q65" s="1418">
        <f ca="1">C40+J29</f>
        <v>9678</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-20</v>
      </c>
      <c r="D67" s="961" t="s">
        <v>753</v>
      </c>
      <c r="E67" s="966"/>
      <c r="F67" s="967"/>
      <c r="O67" s="1426" t="s">
        <v>405</v>
      </c>
      <c r="P67" s="1417" t="s">
        <v>850</v>
      </c>
      <c r="Q67" s="1464">
        <f ca="1">L51</f>
        <v>8303</v>
      </c>
      <c r="R67" s="1418" t="s">
        <v>870</v>
      </c>
    </row>
    <row r="68" spans="1:18" s="1382" customFormat="1" ht="16.5" thickBot="1">
      <c r="A68" s="945" t="s">
        <v>395</v>
      </c>
      <c r="B68" s="946" t="s">
        <v>774</v>
      </c>
      <c r="C68" s="301">
        <f ca="1">ROUND(C67*(1-((1+F70)/(1+F68))^F69)/(F68-F70),0)</f>
        <v>-244</v>
      </c>
      <c r="D68" s="963" t="s">
        <v>758</v>
      </c>
      <c r="E68" s="948" t="s">
        <v>759</v>
      </c>
      <c r="F68" s="312">
        <f ca="1">F40</f>
        <v>5.5E-2</v>
      </c>
      <c r="O68" s="1426" t="s">
        <v>406</v>
      </c>
      <c r="P68" s="1465" t="s">
        <v>871</v>
      </c>
      <c r="Q68" s="1418">
        <f ca="1">ROUND(Q69-Q70*Q71,0)</f>
        <v>519</v>
      </c>
      <c r="R68" s="1418" t="s">
        <v>414</v>
      </c>
    </row>
    <row r="69" spans="1:18" s="1382" customFormat="1" ht="13.5" thickBot="1">
      <c r="A69" s="949"/>
      <c r="B69" s="950"/>
      <c r="C69" s="306"/>
      <c r="D69" s="968" t="s">
        <v>762</v>
      </c>
      <c r="E69" s="948" t="s">
        <v>763</v>
      </c>
      <c r="F69" s="333">
        <f ca="1">F41</f>
        <v>20.8</v>
      </c>
      <c r="O69" s="1426" t="s">
        <v>411</v>
      </c>
      <c r="P69" s="1465" t="s">
        <v>872</v>
      </c>
      <c r="Q69" s="1418">
        <f ca="1">C39</f>
        <v>616</v>
      </c>
      <c r="R69" s="1418" t="s">
        <v>818</v>
      </c>
    </row>
    <row r="70" spans="1:18" s="1382" customFormat="1" ht="13.5" thickBot="1">
      <c r="A70" s="952"/>
      <c r="B70" s="953"/>
      <c r="C70" s="310"/>
      <c r="D70" s="964"/>
      <c r="E70" s="948" t="s">
        <v>766</v>
      </c>
      <c r="F70" s="1052"/>
      <c r="O70" s="1426" t="s">
        <v>412</v>
      </c>
      <c r="P70" s="1465" t="s">
        <v>873</v>
      </c>
      <c r="Q70" s="1418">
        <f ca="1">C13</f>
        <v>1214</v>
      </c>
      <c r="R70" s="1418" t="s">
        <v>818</v>
      </c>
    </row>
    <row r="71" spans="1:18" s="1382" customFormat="1" ht="13.5" thickBot="1">
      <c r="A71" s="969" t="s">
        <v>396</v>
      </c>
      <c r="B71" s="970" t="s">
        <v>776</v>
      </c>
      <c r="C71" s="336">
        <f ca="1">ROUND(C68*10000/F71,0)</f>
        <v>-706</v>
      </c>
      <c r="D71" s="971" t="s">
        <v>777</v>
      </c>
      <c r="E71" s="972" t="s">
        <v>778</v>
      </c>
      <c r="F71" s="339">
        <f ca="1">F43</f>
        <v>3455.7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97</v>
      </c>
      <c r="D75" s="1382"/>
      <c r="E75" s="1382"/>
      <c r="F75" s="1382"/>
      <c r="K75" s="1400"/>
      <c r="L75" s="1382"/>
      <c r="O75" s="1416" t="s">
        <v>409</v>
      </c>
      <c r="P75" s="1417" t="s">
        <v>838</v>
      </c>
      <c r="Q75" s="1418">
        <f ca="1">Q65+Q66</f>
        <v>9678</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0.875</v>
      </c>
    </row>
    <row r="83" spans="2:3">
      <c r="B83" s="273" t="s">
        <v>803</v>
      </c>
      <c r="C83" s="274">
        <f ca="1">ROUND(C13/C40,3)</f>
        <v>0.125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9849.5195000000003</v>
      </c>
      <c r="C2" s="1385" t="s">
        <v>879</v>
      </c>
      <c r="D2" s="1469">
        <f ca="1">C40+J29+L46</f>
        <v>98495195</v>
      </c>
      <c r="E2" s="1386" t="s">
        <v>880</v>
      </c>
      <c r="F2" s="1387"/>
      <c r="G2" s="2699"/>
      <c r="H2" s="2688"/>
      <c r="I2" s="2688"/>
      <c r="J2" s="2688"/>
      <c r="K2" s="2689"/>
      <c r="L2" s="2688"/>
      <c r="M2" s="2688"/>
    </row>
    <row r="3" spans="1:37" ht="18" customHeight="1" thickBot="1">
      <c r="A3" s="1388" t="s">
        <v>881</v>
      </c>
      <c r="B3" s="1389">
        <f ca="1">IF(ISERROR(D2/F43),0,ROUND(D2/F43,0))</f>
        <v>28502</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7728992</v>
      </c>
      <c r="D5" s="1362" t="s">
        <v>889</v>
      </c>
      <c r="E5" s="1069"/>
      <c r="F5" s="1070"/>
      <c r="G5" s="1382"/>
      <c r="H5" s="299">
        <v>1</v>
      </c>
      <c r="I5" s="300" t="s">
        <v>888</v>
      </c>
      <c r="J5" s="1068">
        <f ca="1">J6+J10+J12</f>
        <v>0</v>
      </c>
      <c r="K5" s="1362" t="s">
        <v>889</v>
      </c>
      <c r="L5" s="1069"/>
      <c r="M5" s="1070"/>
    </row>
    <row r="6" spans="1:37" ht="18" customHeight="1">
      <c r="A6" s="1067" t="s">
        <v>398</v>
      </c>
      <c r="B6" s="3798" t="s">
        <v>694</v>
      </c>
      <c r="C6" s="1072">
        <f ca="1">ROUND(F6*F8*F7*(1-F9),0)</f>
        <v>7719343</v>
      </c>
      <c r="D6" s="155" t="s">
        <v>2101</v>
      </c>
      <c r="E6" s="302" t="s">
        <v>696</v>
      </c>
      <c r="F6" s="303">
        <f ca="1">INDIRECT("'数据-取费表'!u"&amp;$G$1)</f>
        <v>6.8</v>
      </c>
      <c r="G6" s="1382"/>
      <c r="H6" s="1067" t="s">
        <v>398</v>
      </c>
      <c r="I6" s="3798" t="s">
        <v>694</v>
      </c>
      <c r="J6" s="301">
        <f ca="1">ROUND(M6*M8*M7*(1-M9),0)</f>
        <v>0</v>
      </c>
      <c r="K6" s="1374" t="s">
        <v>2102</v>
      </c>
      <c r="L6" s="302" t="s">
        <v>696</v>
      </c>
      <c r="M6" s="303">
        <f ca="1">INDIRECT("'数据-取费表'!z"&amp;$G$1)</f>
        <v>0</v>
      </c>
    </row>
    <row r="7" spans="1:37" ht="18" customHeight="1">
      <c r="A7" s="1071"/>
      <c r="B7" s="3799"/>
      <c r="C7" s="1073"/>
      <c r="D7" s="307"/>
      <c r="E7" s="1074" t="s">
        <v>697</v>
      </c>
      <c r="F7" s="303">
        <f ca="1">IF(INDIRECT("'数据-取费表'!ah"&amp;$G$1)="",INDIRECT("'数据-取费表'!k"&amp;$G$1),INDIRECT("'数据-取费表'!ah"&amp;$G$1))</f>
        <v>3455.7</v>
      </c>
      <c r="G7" s="1382"/>
      <c r="H7" s="304"/>
      <c r="I7" s="3799"/>
      <c r="J7" s="306"/>
      <c r="K7" s="307"/>
      <c r="L7" s="302" t="s">
        <v>697</v>
      </c>
      <c r="M7" s="303">
        <f ca="1">F7</f>
        <v>3455.7</v>
      </c>
    </row>
    <row r="8" spans="1:37" ht="18" customHeight="1">
      <c r="A8" s="304"/>
      <c r="B8" s="3799"/>
      <c r="C8" s="306"/>
      <c r="D8" s="307"/>
      <c r="E8" s="302" t="s">
        <v>698</v>
      </c>
      <c r="F8" s="303">
        <f ca="1">INDIRECT("'数据-取费表'!ai"&amp;$G$1)</f>
        <v>365</v>
      </c>
      <c r="G8" s="1382"/>
      <c r="H8" s="304"/>
      <c r="I8" s="3799"/>
      <c r="J8" s="306"/>
      <c r="K8" s="307"/>
      <c r="L8" s="302" t="s">
        <v>698</v>
      </c>
      <c r="M8" s="303">
        <f ca="1">INDIRECT("'数据-取费表'!ai"&amp;$G$1)</f>
        <v>365</v>
      </c>
    </row>
    <row r="9" spans="1:37" ht="18" customHeight="1">
      <c r="A9" s="304"/>
      <c r="B9" s="3800"/>
      <c r="C9" s="306"/>
      <c r="D9" s="307"/>
      <c r="E9" s="302" t="s">
        <v>699</v>
      </c>
      <c r="F9" s="312">
        <f ca="1">INDIRECT("'数据-取费表'!w"&amp;$G$1)</f>
        <v>0.1</v>
      </c>
      <c r="G9" s="1382"/>
      <c r="H9" s="304"/>
      <c r="I9" s="3800"/>
      <c r="J9" s="306"/>
      <c r="K9" s="307"/>
      <c r="L9" s="313" t="s">
        <v>699</v>
      </c>
      <c r="M9" s="314">
        <f ca="1">INDIRECT("'数据-取费表'!ab"&amp;$G$1)</f>
        <v>0</v>
      </c>
    </row>
    <row r="10" spans="1:37" ht="18" customHeight="1">
      <c r="A10" s="1067" t="s">
        <v>402</v>
      </c>
      <c r="B10" s="1363" t="s">
        <v>700</v>
      </c>
      <c r="C10" s="316">
        <f ca="1">ROUND(IF(F10="押一",C6/12*F11,IF(F10="押二",C6/12*2*F11,IF(F10="押三",C6/12*3*F11,C11*F11))),0)</f>
        <v>9649</v>
      </c>
      <c r="D10" s="1364" t="s">
        <v>2111</v>
      </c>
      <c r="E10" s="313" t="s">
        <v>701</v>
      </c>
      <c r="F10" s="1114" t="s">
        <v>3389</v>
      </c>
      <c r="G10" s="1382"/>
      <c r="H10" s="1067" t="s">
        <v>402</v>
      </c>
      <c r="I10" s="1363" t="s">
        <v>700</v>
      </c>
      <c r="J10" s="301">
        <f ca="1">ROUND(IF(M10="押一",J6/12*M11,IF(M10="押二",J6/12*2*M11,IF(M10="押三",J6/12*3*M11,J11*M11))),0)</f>
        <v>0</v>
      </c>
      <c r="K10" s="1375" t="s">
        <v>2113</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12150045</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12094950</v>
      </c>
      <c r="D14" s="1343" t="s">
        <v>708</v>
      </c>
      <c r="E14" s="1340"/>
      <c r="F14" s="319"/>
      <c r="G14" s="1382"/>
      <c r="H14" s="980" t="s">
        <v>398</v>
      </c>
      <c r="I14" s="302" t="s">
        <v>709</v>
      </c>
      <c r="J14" s="21">
        <f ca="1">C29</f>
        <v>17357207</v>
      </c>
      <c r="K14" s="12"/>
      <c r="L14" s="805"/>
      <c r="M14" s="806"/>
    </row>
    <row r="15" spans="1:37" s="1395" customFormat="1" ht="18" customHeight="1" thickBot="1">
      <c r="A15" s="980" t="s">
        <v>399</v>
      </c>
      <c r="B15" s="302" t="s">
        <v>710</v>
      </c>
      <c r="C15" s="21">
        <f ca="1">ROUND(C14*F15,0)</f>
        <v>362849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185452</v>
      </c>
      <c r="K16" s="1085" t="s">
        <v>715</v>
      </c>
      <c r="L16" s="1086"/>
      <c r="M16" s="1070"/>
    </row>
    <row r="17" spans="1:37" s="1395" customFormat="1" ht="18" customHeight="1">
      <c r="A17" s="980" t="s">
        <v>681</v>
      </c>
      <c r="B17" s="302" t="s">
        <v>716</v>
      </c>
      <c r="C17" s="21">
        <f ca="1">ROUND(F17*(F43+INDIRECT("'数据-取费表'!S"&amp;$G$1)),0)</f>
        <v>691140</v>
      </c>
      <c r="D17" s="302" t="s">
        <v>717</v>
      </c>
      <c r="E17" s="302" t="s">
        <v>718</v>
      </c>
      <c r="F17" s="23">
        <f>'数据-取费表'!B35</f>
        <v>200</v>
      </c>
      <c r="G17" s="1394"/>
      <c r="H17" s="980" t="s">
        <v>398</v>
      </c>
      <c r="I17" s="302" t="s">
        <v>719</v>
      </c>
      <c r="J17" s="2314">
        <f ca="1">ROUND(IF(AND(项目基本情况!B11="自然人",项目基本情况!B10="北京市"),J6*M17/(1+'数据-取费表'!C42),J18+J19+J20),0)</f>
        <v>11880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181424</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13330363</v>
      </c>
      <c r="D19" s="131" t="s">
        <v>726</v>
      </c>
      <c r="E19" s="1358"/>
      <c r="F19" s="23"/>
      <c r="G19" s="1382"/>
      <c r="H19" s="980" t="s">
        <v>399</v>
      </c>
      <c r="I19" s="302" t="s">
        <v>727</v>
      </c>
      <c r="J19" s="21">
        <f ca="1">IF(K19="按租金收入计税",ROUND(J6*M19/(1+'数据-取费表'!C42),0),ROUND(C29*M19*0.7,0))</f>
        <v>0</v>
      </c>
      <c r="K19" s="1368" t="s">
        <v>3336</v>
      </c>
      <c r="L19" s="302" t="s">
        <v>712</v>
      </c>
      <c r="M19" s="322">
        <f>IF(K19="按租金收入计税",'数据-取费表'!B51,'数据-取费表'!B50)</f>
        <v>0.12</v>
      </c>
    </row>
    <row r="20" spans="1:37" s="1395" customFormat="1" ht="18" customHeight="1">
      <c r="A20" s="980" t="s">
        <v>402</v>
      </c>
      <c r="B20" s="302" t="s">
        <v>728</v>
      </c>
      <c r="C20" s="21">
        <f ca="1">ROUND(C19*F20,0)</f>
        <v>199955</v>
      </c>
      <c r="D20" s="323" t="s">
        <v>729</v>
      </c>
      <c r="E20" s="302" t="s">
        <v>712</v>
      </c>
      <c r="F20" s="322">
        <f>'数据-取费表'!B37</f>
        <v>1.4999999999999999E-2</v>
      </c>
      <c r="G20" s="1394"/>
      <c r="H20" s="980" t="s">
        <v>680</v>
      </c>
      <c r="I20" s="155" t="s">
        <v>730</v>
      </c>
      <c r="J20" s="22">
        <f ca="1">ROUND(M20*M21,0)</f>
        <v>11880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396.01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173572</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561508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-185452</v>
      </c>
      <c r="K25" s="1093" t="s">
        <v>753</v>
      </c>
      <c r="L25" s="1094"/>
      <c r="M25" s="1095"/>
    </row>
    <row r="26" spans="1:37" ht="18" customHeight="1">
      <c r="A26" s="980" t="s">
        <v>397</v>
      </c>
      <c r="B26" s="302" t="s">
        <v>754</v>
      </c>
      <c r="C26" s="21">
        <f ca="1">ROUND((C19+C20)*F26,0)</f>
        <v>2029548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17357207</v>
      </c>
      <c r="D29" s="1090"/>
      <c r="E29" s="1088"/>
      <c r="F29" s="1091"/>
      <c r="G29" s="1394"/>
      <c r="H29" s="334" t="s">
        <v>396</v>
      </c>
      <c r="I29" s="335" t="s">
        <v>768</v>
      </c>
      <c r="J29" s="336">
        <f ca="1">ROUND(J26/(1+F40)^F41,0)</f>
        <v>0</v>
      </c>
      <c r="K29" s="337" t="s">
        <v>769</v>
      </c>
      <c r="L29" s="338"/>
      <c r="M29" s="339">
        <f ca="1">INDIRECT("'数据-取费表'!k"&amp;$G$1)</f>
        <v>3455.7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1574876</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1305789</v>
      </c>
      <c r="D31" s="1343" t="s">
        <v>720</v>
      </c>
      <c r="E31" s="1342" t="s">
        <v>770</v>
      </c>
      <c r="F31" s="2313" t="str">
        <f>IF(项目基本情况!B11="企业","——",IF(M47="住宅",IF(F6*F7*F8/12/(1+'数据-取费表'!F30)&gt;100000,4%,2.5%),IF(F6*F7*F8/12/(1+'数据-取费表'!F30)&gt;100000,12%,7%)))</f>
        <v>——</v>
      </c>
      <c r="G31" s="1382"/>
      <c r="H31" s="2801" t="s">
        <v>2301</v>
      </c>
      <c r="I31" s="1396"/>
      <c r="J31" s="1397"/>
      <c r="K31" s="2469"/>
      <c r="L31" s="2691"/>
      <c r="M31" s="2692"/>
    </row>
    <row r="32" spans="1:37" ht="18" customHeight="1">
      <c r="A32" s="980" t="s">
        <v>397</v>
      </c>
      <c r="B32" s="302" t="s">
        <v>723</v>
      </c>
      <c r="C32" s="21">
        <f ca="1">IF(项目基本情况!B11="自然人","——",ROUND(C6*F32/(1+'数据-取费表'!C42),0))</f>
        <v>411698</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882211</v>
      </c>
      <c r="D33" s="1368" t="s">
        <v>3336</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11880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396.01</v>
      </c>
      <c r="G35" s="1382"/>
      <c r="H35" s="2690"/>
      <c r="I35" s="1396"/>
      <c r="J35" s="1397"/>
      <c r="K35" s="2694"/>
      <c r="L35" s="2693"/>
      <c r="M35" s="2693"/>
    </row>
    <row r="36" spans="1:18" ht="18" customHeight="1">
      <c r="A36" s="1100" t="s">
        <v>402</v>
      </c>
      <c r="B36" s="302" t="s">
        <v>738</v>
      </c>
      <c r="C36" s="21">
        <f ca="1">ROUND(C29*F36,0)</f>
        <v>173572</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18225</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ROUND(C5*F38,0)</f>
        <v>77290</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6154116</v>
      </c>
      <c r="D39" s="1093" t="s">
        <v>773</v>
      </c>
      <c r="E39" s="1094"/>
      <c r="F39" s="1095"/>
      <c r="G39" s="1382"/>
      <c r="H39" s="2693"/>
      <c r="I39" s="1396"/>
      <c r="J39" s="1397"/>
      <c r="K39" s="2697"/>
      <c r="L39" s="2693"/>
      <c r="M39" s="2693"/>
    </row>
    <row r="40" spans="1:18" ht="18" customHeight="1">
      <c r="A40" s="299" t="s">
        <v>395</v>
      </c>
      <c r="B40" s="300" t="s">
        <v>774</v>
      </c>
      <c r="C40" s="301">
        <f ca="1">ROUND(C39*(1-((1+F42)/(1+F40))^F41)/(F40-F42),0)</f>
        <v>96682680</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20.8</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27978</v>
      </c>
      <c r="D43" s="337" t="s">
        <v>777</v>
      </c>
      <c r="E43" s="338" t="s">
        <v>778</v>
      </c>
      <c r="F43" s="339">
        <f ca="1">INDIRECT("'数据-取费表'!k"&amp;$G$1)</f>
        <v>3455.7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3352</v>
      </c>
      <c r="B45" s="1398"/>
      <c r="C45" s="1470">
        <f ca="1">ROUND((C68-C40)/10000,4)</f>
        <v>-9916.9912999999997</v>
      </c>
      <c r="D45" s="3427" t="s">
        <v>3353</v>
      </c>
      <c r="E45" s="1398"/>
      <c r="F45" s="1398"/>
      <c r="O45" s="1401" t="s">
        <v>808</v>
      </c>
      <c r="P45" s="1459"/>
      <c r="Q45" s="1459"/>
      <c r="R45" s="1459"/>
    </row>
    <row r="46" spans="1:18" s="1382" customFormat="1" ht="13.5" thickBot="1">
      <c r="A46" s="1402" t="s">
        <v>809</v>
      </c>
      <c r="C46" s="1403">
        <f ca="1">ROUND(C45,0)</f>
        <v>-9917</v>
      </c>
      <c r="D46" s="1404" t="str">
        <f>C2</f>
        <v>万元</v>
      </c>
      <c r="I46" s="1405" t="s">
        <v>810</v>
      </c>
      <c r="J46" s="1406"/>
      <c r="K46" s="1407"/>
      <c r="L46" s="1408">
        <f ca="1">IF(M47="住宅",0,IF(L48&gt;J51,L60,J60))</f>
        <v>1812515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96682680</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20.8</v>
      </c>
      <c r="O48" s="1416" t="s">
        <v>404</v>
      </c>
      <c r="P48" s="1417" t="s">
        <v>821</v>
      </c>
      <c r="Q48" s="1418">
        <f ca="1">J60</f>
        <v>1812515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17357207</v>
      </c>
      <c r="R49" s="1418" t="s">
        <v>818</v>
      </c>
    </row>
    <row r="50" spans="1:18" s="1382" customFormat="1" ht="13.5" thickBot="1">
      <c r="A50" s="974"/>
      <c r="B50" s="977"/>
      <c r="C50" s="978"/>
      <c r="D50" s="951"/>
      <c r="E50" s="1054" t="s">
        <v>697</v>
      </c>
      <c r="F50" s="1055">
        <f ca="1">F7</f>
        <v>3455.7</v>
      </c>
      <c r="H50" s="721"/>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94152358</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v>
      </c>
      <c r="R52" s="1418" t="s">
        <v>835</v>
      </c>
    </row>
    <row r="53" spans="1:18" s="1382" customFormat="1" ht="30.75" customHeight="1" thickBot="1">
      <c r="A53" s="1109" t="s">
        <v>440</v>
      </c>
      <c r="B53" s="323"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20.8</v>
      </c>
      <c r="K53" s="3796" t="s">
        <v>837</v>
      </c>
      <c r="L53" s="3797"/>
      <c r="O53" s="1416" t="s">
        <v>409</v>
      </c>
      <c r="P53" s="1417" t="s">
        <v>838</v>
      </c>
      <c r="Q53" s="1418">
        <f ca="1">Q47+Q48</f>
        <v>98495195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0.47</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12150045</v>
      </c>
      <c r="D56" s="1445"/>
      <c r="E56" s="1446"/>
      <c r="F56" s="1438"/>
      <c r="I56" s="1447" t="s">
        <v>842</v>
      </c>
      <c r="J56" s="1448" t="s">
        <v>3369</v>
      </c>
      <c r="K56" s="1419" t="s">
        <v>843</v>
      </c>
      <c r="L56" s="1422" t="str">
        <f ca="1">IF(L48&lt;J51,"——",L48-J51)</f>
        <v>——</v>
      </c>
      <c r="O56" s="1416" t="s">
        <v>403</v>
      </c>
      <c r="P56" s="1417" t="s">
        <v>817</v>
      </c>
      <c r="Q56" s="1418">
        <f ca="1">C40+J29</f>
        <v>96682680</v>
      </c>
      <c r="R56" s="1418" t="s">
        <v>818</v>
      </c>
    </row>
    <row r="57" spans="1:18" s="1382" customFormat="1" ht="24.75" thickBot="1">
      <c r="A57" s="1449"/>
      <c r="B57" s="948" t="s">
        <v>767</v>
      </c>
      <c r="C57" s="238">
        <f ca="1">C29</f>
        <v>17357207</v>
      </c>
      <c r="D57" s="1450"/>
      <c r="E57" s="1451"/>
      <c r="F57" s="1452"/>
      <c r="I57" s="1453" t="s">
        <v>844</v>
      </c>
      <c r="J57" s="1454">
        <f ca="1">IF(OR(M47="住宅",J51&lt;L48,J56="是"),"——",J51-L48)</f>
        <v>28.2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203677</v>
      </c>
      <c r="D58" s="958" t="s">
        <v>715</v>
      </c>
      <c r="E58" s="959"/>
      <c r="F58" s="960"/>
      <c r="I58" s="1453" t="s">
        <v>848</v>
      </c>
      <c r="J58" s="1455">
        <f ca="1">IF(J55&lt;0.4,0.4,J55)</f>
        <v>0.47</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11880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8157887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1812515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11880</v>
      </c>
      <c r="D62" s="963" t="s">
        <v>786</v>
      </c>
      <c r="E62" s="948" t="s">
        <v>787</v>
      </c>
      <c r="F62" s="325">
        <f t="shared" si="0"/>
        <v>30</v>
      </c>
      <c r="I62" s="1460" t="s">
        <v>858</v>
      </c>
      <c r="J62" s="1461" t="s">
        <v>859</v>
      </c>
      <c r="K62" s="1461" t="s">
        <v>860</v>
      </c>
      <c r="L62" s="1461" t="s">
        <v>861</v>
      </c>
      <c r="M62" s="1462" t="s">
        <v>862</v>
      </c>
      <c r="O62" s="1416" t="s">
        <v>409</v>
      </c>
      <c r="P62" s="1417" t="s">
        <v>863</v>
      </c>
      <c r="Q62" s="1418">
        <f ca="1">Q56+Q57</f>
        <v>96682680</v>
      </c>
      <c r="R62" s="1418" t="s">
        <v>410</v>
      </c>
    </row>
    <row r="63" spans="1:18" s="1382" customFormat="1" ht="13.5" thickBot="1">
      <c r="A63" s="326"/>
      <c r="B63" s="954"/>
      <c r="C63" s="26"/>
      <c r="D63" s="964"/>
      <c r="E63" s="948" t="s">
        <v>788</v>
      </c>
      <c r="F63" s="303">
        <f t="shared" ca="1" si="0"/>
        <v>396.01</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173572</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18225</v>
      </c>
      <c r="D65" s="962" t="s">
        <v>743</v>
      </c>
      <c r="E65" s="948" t="s">
        <v>744</v>
      </c>
      <c r="F65" s="330">
        <f t="shared" ca="1" si="0"/>
        <v>1.5E-3</v>
      </c>
      <c r="I65" s="1460" t="s">
        <v>867</v>
      </c>
      <c r="J65" s="1461">
        <v>40</v>
      </c>
      <c r="K65" s="1461">
        <v>30</v>
      </c>
      <c r="L65" s="1461">
        <v>50</v>
      </c>
      <c r="M65" s="1463">
        <v>0.02</v>
      </c>
      <c r="O65" s="1416" t="s">
        <v>403</v>
      </c>
      <c r="P65" s="1417" t="s">
        <v>868</v>
      </c>
      <c r="Q65" s="1418">
        <f ca="1">C40+J29</f>
        <v>96682680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-203677</v>
      </c>
      <c r="D67" s="961" t="s">
        <v>753</v>
      </c>
      <c r="E67" s="966"/>
      <c r="F67" s="967"/>
      <c r="O67" s="1426" t="s">
        <v>405</v>
      </c>
      <c r="P67" s="1417" t="s">
        <v>850</v>
      </c>
      <c r="Q67" s="1464">
        <f ca="1">L51</f>
        <v>94152358</v>
      </c>
      <c r="R67" s="1418" t="s">
        <v>870</v>
      </c>
    </row>
    <row r="68" spans="1:18" s="1382" customFormat="1" ht="16.5" thickBot="1">
      <c r="A68" s="945" t="s">
        <v>395</v>
      </c>
      <c r="B68" s="946" t="s">
        <v>774</v>
      </c>
      <c r="C68" s="301">
        <f ca="1">ROUND(C67*(1-((1+F70)/(1+F68))^F69)/(F68-F70),0)</f>
        <v>-2487233</v>
      </c>
      <c r="D68" s="963" t="s">
        <v>758</v>
      </c>
      <c r="E68" s="948" t="s">
        <v>759</v>
      </c>
      <c r="F68" s="312">
        <f ca="1">F40</f>
        <v>5.5E-2</v>
      </c>
      <c r="O68" s="1426" t="s">
        <v>406</v>
      </c>
      <c r="P68" s="1465" t="s">
        <v>871</v>
      </c>
      <c r="Q68" s="1418">
        <f ca="1">ROUND(Q69-Q70*Q71,0)</f>
        <v>5182112</v>
      </c>
      <c r="R68" s="1418" t="s">
        <v>414</v>
      </c>
    </row>
    <row r="69" spans="1:18" s="1382" customFormat="1" ht="13.5" thickBot="1">
      <c r="A69" s="949"/>
      <c r="B69" s="950"/>
      <c r="C69" s="306"/>
      <c r="D69" s="968" t="s">
        <v>762</v>
      </c>
      <c r="E69" s="948" t="s">
        <v>763</v>
      </c>
      <c r="F69" s="333">
        <f ca="1">F41</f>
        <v>20.8</v>
      </c>
      <c r="O69" s="1426" t="s">
        <v>411</v>
      </c>
      <c r="P69" s="1465" t="s">
        <v>872</v>
      </c>
      <c r="Q69" s="1418">
        <f ca="1">C39</f>
        <v>6154116</v>
      </c>
      <c r="R69" s="1418" t="s">
        <v>818</v>
      </c>
    </row>
    <row r="70" spans="1:18" s="1382" customFormat="1" ht="13.5" thickBot="1">
      <c r="A70" s="952"/>
      <c r="B70" s="953"/>
      <c r="C70" s="310"/>
      <c r="D70" s="964"/>
      <c r="E70" s="948" t="s">
        <v>766</v>
      </c>
      <c r="F70" s="1052"/>
      <c r="O70" s="1426" t="s">
        <v>412</v>
      </c>
      <c r="P70" s="1465" t="s">
        <v>873</v>
      </c>
      <c r="Q70" s="1418">
        <f ca="1">C13</f>
        <v>12150045</v>
      </c>
      <c r="R70" s="1418" t="s">
        <v>818</v>
      </c>
    </row>
    <row r="71" spans="1:18" s="1382" customFormat="1" ht="13.5" thickBot="1">
      <c r="A71" s="969" t="s">
        <v>396</v>
      </c>
      <c r="B71" s="970" t="s">
        <v>776</v>
      </c>
      <c r="C71" s="336">
        <f ca="1">ROUND(C68/F71,0)</f>
        <v>-720</v>
      </c>
      <c r="D71" s="971" t="s">
        <v>777</v>
      </c>
      <c r="E71" s="972" t="s">
        <v>778</v>
      </c>
      <c r="F71" s="339">
        <f ca="1">F43</f>
        <v>3455.7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972004</v>
      </c>
      <c r="D75" s="1382"/>
      <c r="E75" s="1382"/>
      <c r="F75" s="1382"/>
      <c r="K75" s="1400"/>
      <c r="L75" s="1382"/>
      <c r="O75" s="1416" t="s">
        <v>409</v>
      </c>
      <c r="P75" s="1417" t="s">
        <v>838</v>
      </c>
      <c r="Q75" s="1418">
        <f ca="1">Q65+Q66</f>
        <v>96682680</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0.84199999999999997</v>
      </c>
    </row>
    <row r="80" spans="1:18">
      <c r="B80" s="340" t="s">
        <v>800</v>
      </c>
      <c r="C80" s="274">
        <f ca="1">ROUND(C75/C39,3)</f>
        <v>0.158</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1"/>
      <c r="B4" s="3480" t="s">
        <v>917</v>
      </c>
      <c r="C4" s="3480"/>
      <c r="D4" s="3480"/>
      <c r="E4" s="1491"/>
    </row>
    <row r="5" spans="1:5" ht="16.5" thickTop="1">
      <c r="A5" s="1489"/>
      <c r="B5" s="3478" t="s">
        <v>909</v>
      </c>
      <c r="C5" s="1492" t="s">
        <v>910</v>
      </c>
      <c r="D5" s="848">
        <f ca="1">结果表!H101</f>
        <v>12008</v>
      </c>
      <c r="E5" s="1489"/>
    </row>
    <row r="6" spans="1:5" ht="15.75">
      <c r="A6" s="1489"/>
      <c r="B6" s="3478"/>
      <c r="C6" s="1492" t="s">
        <v>911</v>
      </c>
      <c r="D6" s="848" t="str">
        <f ca="1">NUMBERSTRING(INT(D5*10000),2)&amp;"元整"</f>
        <v>壹亿贰仟零捌万元整</v>
      </c>
      <c r="E6" s="1489"/>
    </row>
    <row r="7" spans="1:5" ht="15.75">
      <c r="A7" s="1489"/>
      <c r="B7" s="3483"/>
      <c r="C7" s="1493" t="s">
        <v>912</v>
      </c>
      <c r="D7" s="849">
        <f ca="1">结果表!H102</f>
        <v>34749</v>
      </c>
      <c r="E7" s="1489"/>
    </row>
    <row r="8" spans="1:5" ht="15.75">
      <c r="A8" s="1489"/>
      <c r="B8" s="3484" t="str">
        <f>结果表!E103</f>
        <v>2.估价师知悉的法定优先受偿款</v>
      </c>
      <c r="C8" s="1494" t="s">
        <v>913</v>
      </c>
      <c r="D8" s="849">
        <f>结果表!H103</f>
        <v>0</v>
      </c>
      <c r="E8" s="1489"/>
    </row>
    <row r="9" spans="1:5" ht="15.75">
      <c r="A9" s="1489"/>
      <c r="B9" s="348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7" t="str">
        <f>结果表!E107</f>
        <v>3.房地产抵押价值</v>
      </c>
      <c r="C13" s="1497" t="s">
        <v>910</v>
      </c>
      <c r="D13" s="851">
        <f ca="1">结果表!H107</f>
        <v>12008</v>
      </c>
      <c r="E13" s="1489"/>
    </row>
    <row r="14" spans="1:5" ht="15.75">
      <c r="A14" s="1489"/>
      <c r="B14" s="3478"/>
      <c r="C14" s="1492" t="s">
        <v>911</v>
      </c>
      <c r="D14" s="848" t="str">
        <f ca="1">NUMBERSTRING(INT(D13*10000),2)&amp;"元整"</f>
        <v>壹亿贰仟零捌万元整</v>
      </c>
      <c r="E14" s="1489"/>
    </row>
    <row r="15" spans="1:5" ht="15">
      <c r="A15" s="1489"/>
      <c r="B15" s="3483"/>
      <c r="C15" s="1493" t="s">
        <v>921</v>
      </c>
      <c r="D15" s="857">
        <f ca="1">结果表!H108</f>
        <v>34749</v>
      </c>
      <c r="E15" s="1489"/>
    </row>
    <row r="16" spans="1:5" ht="15">
      <c r="A16" s="1489"/>
      <c r="B16" s="3484" t="str">
        <f>结果表!E109</f>
        <v>——</v>
      </c>
      <c r="C16" s="1497" t="s">
        <v>922</v>
      </c>
      <c r="D16" s="1498" t="str">
        <f>结果表!H109</f>
        <v>——</v>
      </c>
      <c r="E16" s="1489"/>
    </row>
    <row r="17" spans="1:5" ht="15.75">
      <c r="A17" s="1489"/>
      <c r="B17" s="3485"/>
      <c r="C17" s="1492" t="s">
        <v>923</v>
      </c>
      <c r="D17" s="848" t="e">
        <f>NUMBERSTRING(INT(D16*10000),2)&amp;"元整"</f>
        <v>#VALUE!</v>
      </c>
      <c r="E17" s="1489"/>
    </row>
    <row r="18" spans="1:5" ht="15">
      <c r="A18" s="1489"/>
      <c r="B18" s="3486"/>
      <c r="C18" s="1493" t="s">
        <v>912</v>
      </c>
      <c r="D18" s="857" t="str">
        <f>结果表!H110</f>
        <v>——</v>
      </c>
      <c r="E18" s="1489"/>
    </row>
    <row r="19" spans="1:5" ht="15.75">
      <c r="A19" s="1489"/>
      <c r="B19" s="3477" t="str">
        <f>结果表!E111</f>
        <v>4.抵押净值</v>
      </c>
      <c r="C19" s="1497" t="s">
        <v>910</v>
      </c>
      <c r="D19" s="849">
        <f ca="1">结果表!H111</f>
        <v>9235</v>
      </c>
      <c r="E19" s="1489"/>
    </row>
    <row r="20" spans="1:5" ht="15.75">
      <c r="A20" s="1489"/>
      <c r="B20" s="3478"/>
      <c r="C20" s="1492" t="s">
        <v>923</v>
      </c>
      <c r="D20" s="848" t="str">
        <f ca="1">NUMBERSTRING(INT(D19*10000),2)&amp;"元整"</f>
        <v>玖仟贰佰叁拾伍万元整</v>
      </c>
      <c r="E20" s="1489"/>
    </row>
    <row r="21" spans="1:5" ht="15.75" thickBot="1">
      <c r="A21" s="1489"/>
      <c r="B21" s="3479"/>
      <c r="C21" s="1499" t="s">
        <v>921</v>
      </c>
      <c r="D21" s="858">
        <f ca="1">结果表!H112</f>
        <v>26724</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2080</v>
      </c>
      <c r="C1" s="3804" t="s">
        <v>2081</v>
      </c>
      <c r="D1" s="3805"/>
      <c r="E1" s="3805"/>
      <c r="F1" s="3805"/>
      <c r="G1" s="3805"/>
      <c r="H1" s="3805"/>
      <c r="I1" s="3805"/>
      <c r="J1" s="3805"/>
      <c r="K1" s="3805"/>
      <c r="L1" s="3805"/>
      <c r="M1" s="3805"/>
      <c r="N1" s="3805"/>
      <c r="O1" s="3805"/>
      <c r="P1" s="3805"/>
      <c r="Q1" s="3805"/>
      <c r="R1" s="3805"/>
      <c r="S1" s="3806"/>
      <c r="T1" s="981" t="s">
        <v>2082</v>
      </c>
    </row>
    <row r="2" spans="1:45" s="655" customFormat="1" ht="38.25">
      <c r="A2" s="982"/>
      <c r="B2" s="651" t="s">
        <v>2083</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3453</v>
      </c>
      <c r="C5" s="993" t="s">
        <v>3454</v>
      </c>
      <c r="D5" s="994" t="s">
        <v>3455</v>
      </c>
      <c r="E5" s="994" t="s">
        <v>3456</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2084</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5" thickBot="1">
      <c r="A20" s="660" t="s">
        <v>2092</v>
      </c>
      <c r="B20" s="294" t="e">
        <f ca="1">IF(D20="——",S22,S22-F20)</f>
        <v>#N/A</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75">
      <c r="A21" s="660" t="s">
        <v>2094</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3455.7</v>
      </c>
      <c r="C22" s="3801" t="s">
        <v>27</v>
      </c>
      <c r="D22" s="3802"/>
      <c r="E22" s="3802"/>
      <c r="F22" s="3802"/>
      <c r="G22" s="3802"/>
      <c r="H22" s="3802"/>
      <c r="I22" s="3802"/>
      <c r="J22" s="3802"/>
      <c r="K22" s="3802"/>
      <c r="L22" s="3802"/>
      <c r="M22" s="3802"/>
      <c r="N22" s="3802"/>
      <c r="O22" s="3802"/>
      <c r="P22" s="3802"/>
      <c r="Q22" s="3803"/>
      <c r="R22" s="661" t="e">
        <f ca="1">ROUND(S22*10000/B22,0)</f>
        <v>#N/A</v>
      </c>
      <c r="S22" s="21" t="e">
        <f ca="1">SUM(S24:S10000)</f>
        <v>#N/A</v>
      </c>
      <c r="T22" s="723">
        <v>6095</v>
      </c>
      <c r="U22" s="723" t="e">
        <f ca="1">T22-S22</f>
        <v>#N/A</v>
      </c>
    </row>
    <row r="23" spans="1:45" s="9" customFormat="1" ht="24">
      <c r="A23" s="8" t="s">
        <v>2096</v>
      </c>
      <c r="B23" s="8" t="s">
        <v>2097</v>
      </c>
      <c r="C23" s="8" t="s">
        <v>2098</v>
      </c>
      <c r="D23" s="8" t="str">
        <f>B5</f>
        <v>楼层</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3455.7</v>
      </c>
      <c r="C24" s="2803">
        <v>1</v>
      </c>
      <c r="D24" s="2804" t="s">
        <v>3456</v>
      </c>
      <c r="E24" s="2803">
        <v>1</v>
      </c>
      <c r="F24" s="2804"/>
      <c r="G24" s="2803">
        <v>1</v>
      </c>
      <c r="H24" s="2804"/>
      <c r="I24" s="2803">
        <v>1</v>
      </c>
      <c r="J24" s="2804"/>
      <c r="K24" s="2803">
        <v>1</v>
      </c>
      <c r="L24" s="2804"/>
      <c r="M24" s="2803">
        <v>1</v>
      </c>
      <c r="N24" s="2804"/>
      <c r="O24" s="2803">
        <v>1</v>
      </c>
      <c r="P24" s="2804"/>
      <c r="Q24" s="2803">
        <v>1</v>
      </c>
      <c r="R24" s="666">
        <f ca="1">结果表!G20</f>
        <v>34749</v>
      </c>
      <c r="S24" s="664">
        <f t="shared" ref="S24:S54" ca="1" si="11">ROUND(R24*B24/10000,0)</f>
        <v>12008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3454</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3454</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9" t="s">
        <v>2839</v>
      </c>
      <c r="B1" s="3809"/>
      <c r="C1" s="3809"/>
      <c r="D1" s="3809"/>
      <c r="E1" s="3809"/>
      <c r="F1" s="3809"/>
      <c r="G1" s="3810"/>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07" t="s">
        <v>2866</v>
      </c>
      <c r="B3" s="3224"/>
      <c r="C3" s="3225" t="s">
        <v>2805</v>
      </c>
      <c r="D3" s="3225" t="s">
        <v>2867</v>
      </c>
      <c r="E3" s="3225" t="s">
        <v>2807</v>
      </c>
      <c r="F3" s="3225" t="s">
        <v>2868</v>
      </c>
      <c r="G3" s="3225" t="s">
        <v>2625</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08"/>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1" t="s">
        <v>3181</v>
      </c>
      <c r="B1" s="3811"/>
    </row>
    <row r="2" spans="1:7" ht="14.25" thickBot="1">
      <c r="A2" s="3249"/>
      <c r="B2" s="3249"/>
    </row>
    <row r="3" spans="1:7" ht="14.25" thickBot="1">
      <c r="A3" s="3249"/>
      <c r="B3" s="3249"/>
      <c r="C3" s="3250" t="s">
        <v>2805</v>
      </c>
      <c r="D3" s="3250" t="s">
        <v>2867</v>
      </c>
      <c r="E3" s="3250" t="s">
        <v>2807</v>
      </c>
      <c r="F3" s="3250" t="s">
        <v>2868</v>
      </c>
      <c r="G3" s="3250" t="s">
        <v>2625</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2" t="s">
        <v>3232</v>
      </c>
      <c r="B1" s="3812"/>
      <c r="C1" s="3812"/>
      <c r="D1" s="3812"/>
      <c r="E1" s="3812"/>
      <c r="F1" s="3813"/>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45037</v>
      </c>
      <c r="B1" s="3204" t="s">
        <v>2838</v>
      </c>
      <c r="C1" s="3205"/>
      <c r="D1" s="3205"/>
      <c r="E1" s="3205"/>
      <c r="F1" s="3205"/>
      <c r="G1" s="3205"/>
      <c r="H1" s="3205"/>
      <c r="I1" s="3205"/>
      <c r="J1" s="3158"/>
      <c r="K1" s="3205" t="s">
        <v>454</v>
      </c>
      <c r="L1" s="3205"/>
      <c r="M1" s="3205"/>
      <c r="N1" s="3205"/>
      <c r="O1" s="3205"/>
      <c r="P1" s="3205"/>
      <c r="Q1" s="3158"/>
      <c r="R1" s="3814" t="s">
        <v>456</v>
      </c>
      <c r="S1" s="3815"/>
      <c r="T1" s="3815"/>
      <c r="U1" s="3815"/>
      <c r="V1" s="3815"/>
      <c r="W1" s="3815"/>
      <c r="X1" s="3158"/>
      <c r="Y1" s="3814" t="s">
        <v>457</v>
      </c>
      <c r="Z1" s="3815"/>
      <c r="AA1" s="3815"/>
      <c r="AB1" s="3815"/>
      <c r="AC1" s="3815"/>
      <c r="AD1" s="3815"/>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2814</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2815</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3355</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3356</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2816</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2817</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2818</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2819</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2820</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2821</v>
      </c>
    </row>
    <row r="17" spans="1:30" s="3002" customFormat="1"/>
    <row r="18" spans="1:30" s="3203" customFormat="1" ht="12.75">
      <c r="B18" s="3204" t="s">
        <v>2822</v>
      </c>
      <c r="C18" s="3205"/>
      <c r="D18" s="3205"/>
      <c r="E18" s="3205"/>
      <c r="F18" s="3205"/>
      <c r="G18" s="3205"/>
      <c r="H18" s="3205"/>
      <c r="I18" s="3205"/>
      <c r="J18" s="3158"/>
      <c r="K18" s="3205" t="s">
        <v>2823</v>
      </c>
      <c r="L18" s="3205"/>
      <c r="M18" s="3205"/>
      <c r="N18" s="3205"/>
      <c r="O18" s="3205"/>
      <c r="P18" s="3205"/>
      <c r="Q18" s="3158"/>
      <c r="R18" s="3814" t="s">
        <v>2824</v>
      </c>
      <c r="S18" s="3815"/>
      <c r="T18" s="3815"/>
      <c r="U18" s="3815"/>
      <c r="V18" s="3815"/>
      <c r="W18" s="3815"/>
      <c r="X18" s="3158"/>
      <c r="Y18" s="3814" t="s">
        <v>2825</v>
      </c>
      <c r="Z18" s="3815"/>
      <c r="AA18" s="3815"/>
      <c r="AB18" s="3815"/>
      <c r="AC18" s="3815"/>
      <c r="AD18" s="3815"/>
    </row>
    <row r="19" spans="1:30" s="3136" customFormat="1" ht="14.25" thickBot="1">
      <c r="B19" s="3137"/>
      <c r="C19" s="3138"/>
      <c r="D19" s="3139" t="s">
        <v>2826</v>
      </c>
      <c r="E19" s="3140" t="s">
        <v>2827</v>
      </c>
      <c r="F19" s="3140" t="s">
        <v>2828</v>
      </c>
      <c r="G19" s="3140" t="s">
        <v>2829</v>
      </c>
      <c r="H19" s="3140"/>
      <c r="I19" s="3140" t="s">
        <v>2830</v>
      </c>
      <c r="J19" s="3141"/>
      <c r="K19" s="3139" t="s">
        <v>2826</v>
      </c>
      <c r="L19" s="3140" t="s">
        <v>2827</v>
      </c>
      <c r="M19" s="3140" t="s">
        <v>2828</v>
      </c>
      <c r="N19" s="3140" t="s">
        <v>2829</v>
      </c>
      <c r="O19" s="3140"/>
      <c r="P19" s="3140" t="s">
        <v>2830</v>
      </c>
      <c r="Q19" s="3141"/>
      <c r="R19" s="3139" t="s">
        <v>2826</v>
      </c>
      <c r="S19" s="3140" t="s">
        <v>2827</v>
      </c>
      <c r="T19" s="3140" t="s">
        <v>2828</v>
      </c>
      <c r="U19" s="3140" t="s">
        <v>2829</v>
      </c>
      <c r="V19" s="3140"/>
      <c r="W19" s="3140" t="s">
        <v>2830</v>
      </c>
      <c r="X19" s="3141"/>
      <c r="Y19" s="3139" t="s">
        <v>2826</v>
      </c>
      <c r="Z19" s="3140" t="s">
        <v>2827</v>
      </c>
      <c r="AA19" s="3140" t="s">
        <v>2828</v>
      </c>
      <c r="AB19" s="3140" t="s">
        <v>2829</v>
      </c>
      <c r="AC19" s="3140"/>
      <c r="AD19" s="3140" t="s">
        <v>2830</v>
      </c>
    </row>
    <row r="20" spans="1:30" s="3154" customFormat="1" ht="12.75">
      <c r="A20" s="3142" t="s">
        <v>2831</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2832</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2833</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3357</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3356</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2834</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2835</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2836</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2837</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2820</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2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45037</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2304</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2" sqref="A2:A4"/>
    </sheetView>
  </sheetViews>
  <sheetFormatPr defaultRowHeight="13.5"/>
  <sheetData>
    <row r="1" spans="1:8">
      <c r="B1" s="3473" t="s">
        <v>3480</v>
      </c>
      <c r="C1" s="3473" t="s">
        <v>3481</v>
      </c>
      <c r="D1" s="3473" t="s">
        <v>3482</v>
      </c>
      <c r="E1" s="3473" t="s">
        <v>3483</v>
      </c>
      <c r="F1" s="3473" t="s">
        <v>3484</v>
      </c>
      <c r="G1" s="3473" t="s">
        <v>3485</v>
      </c>
      <c r="H1" s="3473" t="s">
        <v>3486</v>
      </c>
    </row>
    <row r="2" spans="1:8">
      <c r="A2" s="3473" t="s">
        <v>3487</v>
      </c>
      <c r="B2">
        <v>775.69</v>
      </c>
      <c r="C2">
        <v>8</v>
      </c>
      <c r="D2" s="3473" t="s">
        <v>3488</v>
      </c>
      <c r="E2" s="3473" t="s">
        <v>3489</v>
      </c>
      <c r="F2" s="3474">
        <f>29/30</f>
        <v>0.96666666666666667</v>
      </c>
      <c r="G2" s="3474"/>
      <c r="H2" s="3474">
        <f>ROUND(C2-F2,1)</f>
        <v>7</v>
      </c>
    </row>
    <row r="3" spans="1:8">
      <c r="A3" s="3473" t="s">
        <v>3490</v>
      </c>
      <c r="B3">
        <v>300</v>
      </c>
      <c r="C3">
        <v>8.5</v>
      </c>
      <c r="D3" s="3473" t="s">
        <v>3491</v>
      </c>
      <c r="E3" s="3473" t="s">
        <v>3492</v>
      </c>
      <c r="F3" s="3474">
        <f t="shared" ref="F3:F4" si="0">29/30</f>
        <v>0.96666666666666667</v>
      </c>
      <c r="G3" s="3474"/>
      <c r="H3" s="3474">
        <f t="shared" ref="H3:H4" si="1">ROUND(C3-F3,1)</f>
        <v>7.5</v>
      </c>
    </row>
    <row r="4" spans="1:8">
      <c r="A4" s="3473" t="str">
        <f>A3</f>
        <v>万科住总金域国际</v>
      </c>
      <c r="B4">
        <v>1279.6300000000001</v>
      </c>
      <c r="C4">
        <v>8</v>
      </c>
      <c r="D4" s="3473" t="s">
        <v>3491</v>
      </c>
      <c r="E4" s="3473" t="s">
        <v>3493</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3455.7</v>
      </c>
      <c r="C4" s="852">
        <f>项目基本情况!C18</f>
        <v>396.01</v>
      </c>
      <c r="D4" s="852">
        <f ca="1">结果表!D118</f>
        <v>10123</v>
      </c>
      <c r="E4" s="852">
        <f ca="1">结果表!E118</f>
        <v>29293</v>
      </c>
      <c r="F4" s="852">
        <f ca="1">结果表!F118</f>
        <v>1885</v>
      </c>
      <c r="G4" s="852">
        <f ca="1">结果表!G118</f>
        <v>5456</v>
      </c>
      <c r="H4" s="852">
        <f ca="1">结果表!H118</f>
        <v>12008</v>
      </c>
      <c r="I4" s="852">
        <f ca="1">结果表!I118</f>
        <v>34749</v>
      </c>
    </row>
    <row r="5" spans="1:9" ht="30" customHeight="1">
      <c r="A5" s="3490" t="s">
        <v>927</v>
      </c>
      <c r="B5" s="3490"/>
      <c r="C5" s="3490"/>
      <c r="D5" s="3490" t="str">
        <f ca="1">结果表!D119</f>
        <v>壹亿零壹佰贰拾叁万元整</v>
      </c>
      <c r="E5" s="3490"/>
      <c r="F5" s="3490" t="str">
        <f ca="1">结果表!F119</f>
        <v>壹仟捌佰捌拾伍万元整</v>
      </c>
      <c r="G5" s="3490"/>
      <c r="H5" s="3490" t="str">
        <f ca="1">结果表!H119</f>
        <v>壹亿贰仟零捌万元整</v>
      </c>
      <c r="I5" s="3490"/>
    </row>
    <row r="6" spans="1:9" ht="15.75">
      <c r="A6" s="3489" t="str">
        <f>结果表!A120</f>
        <v>估价师知悉的法定优先受偿款</v>
      </c>
      <c r="B6" s="3489"/>
      <c r="C6" s="3489"/>
      <c r="D6" s="3489">
        <f>结果表!D120</f>
        <v>0</v>
      </c>
      <c r="E6" s="3489"/>
      <c r="F6" s="3489"/>
      <c r="G6" s="3489"/>
      <c r="H6" s="3489"/>
      <c r="I6" s="3489"/>
    </row>
    <row r="7" spans="1:9" ht="15">
      <c r="A7" s="3490" t="s">
        <v>927</v>
      </c>
      <c r="B7" s="3490"/>
      <c r="C7" s="3490"/>
      <c r="D7" s="3491" t="str">
        <f>结果表!D121</f>
        <v>零元整</v>
      </c>
      <c r="E7" s="3492"/>
      <c r="F7" s="3492"/>
      <c r="G7" s="3492"/>
      <c r="H7" s="3492"/>
      <c r="I7" s="3493"/>
    </row>
    <row r="8" spans="1:9" ht="15.75">
      <c r="A8" s="3489" t="str">
        <f>结果表!A122</f>
        <v>房地产抵押价值</v>
      </c>
      <c r="B8" s="3489"/>
      <c r="C8" s="3489"/>
      <c r="D8" s="3489">
        <f ca="1">结果表!D122</f>
        <v>12008</v>
      </c>
      <c r="E8" s="3489"/>
      <c r="F8" s="3489"/>
      <c r="G8" s="3489"/>
      <c r="H8" s="3489"/>
      <c r="I8" s="3489"/>
    </row>
    <row r="9" spans="1:9" ht="15">
      <c r="A9" s="3490" t="s">
        <v>927</v>
      </c>
      <c r="B9" s="3490"/>
      <c r="C9" s="3490"/>
      <c r="D9" s="3490" t="str">
        <f ca="1">结果表!D123</f>
        <v>壹亿贰仟零捌万元整</v>
      </c>
      <c r="E9" s="3490"/>
      <c r="F9" s="3490"/>
      <c r="G9" s="3490"/>
      <c r="H9" s="3490"/>
      <c r="I9" s="3490"/>
    </row>
    <row r="10" spans="1:9" ht="15.75">
      <c r="A10" s="3489" t="str">
        <f>结果表!A124</f>
        <v/>
      </c>
      <c r="B10" s="3489"/>
      <c r="C10" s="3489"/>
      <c r="D10" s="3489" t="str">
        <f>结果表!D124</f>
        <v>——</v>
      </c>
      <c r="E10" s="3489"/>
      <c r="F10" s="3489"/>
      <c r="G10" s="3489"/>
      <c r="H10" s="3489"/>
      <c r="I10" s="3489"/>
    </row>
    <row r="11" spans="1:9" ht="15">
      <c r="A11" s="3490" t="s">
        <v>927</v>
      </c>
      <c r="B11" s="3490"/>
      <c r="C11" s="3490"/>
      <c r="D11" s="3490" t="e">
        <f>结果表!D125</f>
        <v>#VALUE!</v>
      </c>
      <c r="E11" s="3490"/>
      <c r="F11" s="3490"/>
      <c r="G11" s="3490"/>
      <c r="H11" s="3490"/>
      <c r="I11" s="3490"/>
    </row>
    <row r="12" spans="1:9" ht="15.75">
      <c r="A12" s="3489" t="str">
        <f>结果表!A126</f>
        <v>抵押净值</v>
      </c>
      <c r="B12" s="3489"/>
      <c r="C12" s="3489"/>
      <c r="D12" s="3489">
        <f ca="1">结果表!D126</f>
        <v>9235</v>
      </c>
      <c r="E12" s="3489"/>
      <c r="F12" s="3489"/>
      <c r="G12" s="3489"/>
      <c r="H12" s="3489"/>
      <c r="I12" s="3489"/>
    </row>
    <row r="13" spans="1:9" ht="15.75" thickBot="1">
      <c r="A13" s="3487" t="s">
        <v>927</v>
      </c>
      <c r="B13" s="3487"/>
      <c r="C13" s="3487"/>
      <c r="D13" s="3487" t="str">
        <f ca="1">结果表!D127</f>
        <v>玖仟贰佰叁拾伍万元整</v>
      </c>
      <c r="E13" s="3487"/>
      <c r="F13" s="3487"/>
      <c r="G13" s="3487"/>
      <c r="H13" s="3487"/>
      <c r="I13" s="3487"/>
    </row>
    <row r="14" spans="1:9" ht="15" thickTop="1">
      <c r="A14" s="3488" t="s">
        <v>932</v>
      </c>
      <c r="B14" s="3488"/>
      <c r="C14" s="3488"/>
      <c r="D14" s="3488"/>
      <c r="E14" s="3488"/>
      <c r="F14" s="3488"/>
      <c r="G14" s="3488"/>
      <c r="H14" s="3488"/>
      <c r="I14" s="348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2" t="s">
        <v>949</v>
      </c>
      <c r="B1" s="3502"/>
      <c r="C1" s="3502"/>
      <c r="D1" s="3502"/>
    </row>
    <row r="2" spans="1:4" ht="18">
      <c r="A2" s="3503" t="s">
        <v>933</v>
      </c>
      <c r="B2" s="3503"/>
      <c r="C2" s="3503"/>
      <c r="D2" s="350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03" t="s">
        <v>939</v>
      </c>
      <c r="B6" s="3503"/>
      <c r="C6" s="3503"/>
      <c r="D6" s="350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04"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6" t="str">
        <f>IF(项目基本情况!B8="抵押","4.本次评估估价师所知悉的法定优先受偿款情况说明如下：","——")</f>
        <v>4.本次评估估价师所知悉的法定优先受偿款情况说明如下：</v>
      </c>
      <c r="B14" s="3501"/>
      <c r="C14" s="3501"/>
      <c r="D14" s="3501"/>
    </row>
    <row r="15" spans="1:4" ht="42" customHeight="1">
      <c r="A15" s="349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498" t="s">
        <v>943</v>
      </c>
      <c r="B16" s="3498"/>
      <c r="C16" s="3498"/>
      <c r="D16" s="3498"/>
    </row>
    <row r="17" spans="1:4" ht="144" customHeight="1">
      <c r="A17" s="3498" t="s">
        <v>944</v>
      </c>
      <c r="B17" s="3498"/>
      <c r="C17" s="3498"/>
      <c r="D17" s="3498"/>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6"/>
      <c r="C20" s="3496"/>
      <c r="D20" s="3496"/>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0" t="s">
        <v>956</v>
      </c>
      <c r="B15" s="3505" t="s">
        <v>109</v>
      </c>
      <c r="C15" s="3506"/>
    </row>
    <row r="16" spans="1:7" ht="13.5">
      <c r="A16" s="3511"/>
      <c r="B16" s="3505" t="s">
        <v>42</v>
      </c>
      <c r="C16" s="3506"/>
    </row>
    <row r="17" spans="1:3" ht="13.5">
      <c r="A17" s="3511"/>
      <c r="B17" s="3508" t="s">
        <v>957</v>
      </c>
      <c r="C17" s="1530" t="s">
        <v>956</v>
      </c>
    </row>
    <row r="18" spans="1:3" ht="13.5">
      <c r="A18" s="3511"/>
      <c r="B18" s="3508"/>
      <c r="C18" s="1530" t="s">
        <v>958</v>
      </c>
    </row>
    <row r="19" spans="1:3" ht="13.5">
      <c r="A19" s="3511"/>
      <c r="B19" s="3508"/>
      <c r="C19" s="1530" t="s">
        <v>959</v>
      </c>
    </row>
    <row r="20" spans="1:3" ht="13.5">
      <c r="A20" s="3512"/>
      <c r="B20" s="3507" t="s">
        <v>960</v>
      </c>
      <c r="C20" s="3506"/>
    </row>
    <row r="21" spans="1:3" ht="13.5">
      <c r="A21" s="1531" t="s">
        <v>961</v>
      </c>
      <c r="B21" s="1532"/>
      <c r="C21" s="1533"/>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0" t="s">
        <v>967</v>
      </c>
    </row>
    <row r="26" spans="1:3" ht="13.5">
      <c r="A26" s="3509"/>
      <c r="B26" s="3508"/>
      <c r="C26" s="1530" t="s">
        <v>968</v>
      </c>
    </row>
    <row r="27" spans="1:3" ht="13.5">
      <c r="A27" s="3509"/>
      <c r="B27" s="3508"/>
      <c r="C27" s="1530" t="s">
        <v>969</v>
      </c>
    </row>
    <row r="28" spans="1:3" ht="13.5">
      <c r="A28" s="3509"/>
      <c r="B28" s="3508"/>
      <c r="C28" s="1530" t="s">
        <v>970</v>
      </c>
    </row>
    <row r="29" spans="1:3" ht="13.5">
      <c r="A29" s="3509"/>
      <c r="B29" s="3508"/>
      <c r="C29" s="1530" t="s">
        <v>971</v>
      </c>
    </row>
    <row r="30" spans="1:3" ht="13.5">
      <c r="A30" s="3509"/>
      <c r="B30" s="3508"/>
      <c r="C30" s="1530" t="s">
        <v>972</v>
      </c>
    </row>
    <row r="31" spans="1:3" ht="13.5">
      <c r="A31" s="3509"/>
      <c r="B31" s="3508"/>
      <c r="C31" s="1530" t="s">
        <v>973</v>
      </c>
    </row>
    <row r="32" spans="1:3" ht="13.5">
      <c r="A32" s="3509"/>
      <c r="B32" s="3508"/>
      <c r="C32" s="1530" t="s">
        <v>974</v>
      </c>
    </row>
    <row r="33" spans="1:3" ht="13.5">
      <c r="A33" s="3509"/>
      <c r="B33" s="350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45142</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3" t="s">
        <v>2155</v>
      </c>
      <c r="B17" s="3513"/>
      <c r="C17" s="3513"/>
      <c r="D17" s="3513"/>
      <c r="E17" s="3513"/>
      <c r="F17" s="3513"/>
      <c r="G17" s="3513"/>
      <c r="H17" s="3513"/>
    </row>
    <row r="18" spans="1:8" ht="24" customHeight="1">
      <c r="A18" s="3514" t="s">
        <v>2156</v>
      </c>
      <c r="B18" s="3514"/>
      <c r="C18" s="3514"/>
      <c r="D18" s="2341"/>
      <c r="E18" s="3515" t="s">
        <v>2157</v>
      </c>
      <c r="F18" s="3514"/>
      <c r="G18" s="3514"/>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2023-08-04T07:07:48Z</dcterms:modified>
</cp:coreProperties>
</file>