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北京市密云区密云县密溪路39号院北区52号-1层\"/>
    </mc:Choice>
  </mc:AlternateContent>
  <xr:revisionPtr revIDLastSave="0" documentId="13_ncr:1_{20A0BF39-BCF2-413A-8913-F36B570A6884}" xr6:coauthVersionLast="45" xr6:coauthVersionMax="45" xr10:uidLastSave="{00000000-0000-0000-0000-000000000000}"/>
  <bookViews>
    <workbookView xWindow="-120" yWindow="-120" windowWidth="21840" windowHeight="1314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3" i="43"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B5" i="78"/>
  <c r="AC5" i="78"/>
  <c r="AB6" i="78"/>
  <c r="AC6" i="78"/>
  <c r="AB7" i="78"/>
  <c r="AC7" i="78"/>
  <c r="AB8" i="78"/>
  <c r="AC8" i="78"/>
  <c r="AB9" i="78"/>
  <c r="AC9" i="78"/>
  <c r="AB10" i="78"/>
  <c r="AC10" i="78"/>
  <c r="AB11" i="78"/>
  <c r="AC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V10" i="78" s="1"/>
  <c r="O11" i="78"/>
  <c r="V11" i="78" s="1"/>
  <c r="O12" i="78"/>
  <c r="V12" i="78" s="1"/>
  <c r="O13" i="78"/>
  <c r="I13" i="78"/>
  <c r="I12" i="78"/>
  <c r="I11" i="78"/>
  <c r="I10" i="78"/>
  <c r="I9" i="78"/>
  <c r="M5" i="78"/>
  <c r="P5" i="78" s="1"/>
  <c r="N5" i="78"/>
  <c r="M6" i="78"/>
  <c r="P6" i="78" s="1"/>
  <c r="N6" i="78"/>
  <c r="M7" i="78"/>
  <c r="N7" i="78"/>
  <c r="M8" i="78"/>
  <c r="N8" i="78"/>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R5" i="78" l="1"/>
  <c r="S28" i="78"/>
  <c r="T11" i="78"/>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C28" i="43" l="1"/>
  <c r="Y10" i="43"/>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C7" i="68" s="1"/>
  <c r="C5" i="68" s="1"/>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Q69" i="71" s="1"/>
  <c r="C69" i="71"/>
  <c r="P69" i="71" s="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G27" i="71" s="1"/>
  <c r="U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9" i="43"/>
  <c r="C22" i="20"/>
  <c r="B101" i="43" s="1"/>
  <c r="B78" i="43"/>
  <c r="B58" i="43"/>
  <c r="B69"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S21" i="21"/>
  <c r="H1" i="69"/>
  <c r="AC25" i="40"/>
  <c r="W25" i="40"/>
  <c r="AB25" i="40"/>
  <c r="U25" i="40"/>
  <c r="AB29" i="39"/>
  <c r="U29" i="39"/>
  <c r="AC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C21" i="69"/>
  <c r="F20" i="69"/>
  <c r="F39" i="69" s="1"/>
  <c r="E10" i="69"/>
  <c r="E9"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I15" i="4"/>
  <c r="H15" i="4"/>
  <c r="G15" i="4"/>
  <c r="E15" i="4"/>
  <c r="D15" i="4"/>
  <c r="I24" i="43" s="1"/>
  <c r="F7" i="1"/>
  <c r="L21" i="4"/>
  <c r="F19" i="4"/>
  <c r="F2" i="52"/>
  <c r="B50" i="72"/>
  <c r="D2" i="52"/>
  <c r="B46" i="72"/>
  <c r="B8" i="53"/>
  <c r="B23" i="72"/>
  <c r="L4" i="9"/>
  <c r="B17" i="72"/>
  <c r="B15" i="72"/>
  <c r="A3" i="51"/>
  <c r="C8" i="11"/>
  <c r="B40" i="48"/>
  <c r="B3" i="72" s="1"/>
  <c r="N1" i="43"/>
  <c r="F35" i="4"/>
  <c r="J55" i="39"/>
  <c r="H38" i="43"/>
  <c r="H39" i="43"/>
  <c r="H40" i="43"/>
  <c r="H41" i="43"/>
  <c r="H42"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L531" i="3" s="1"/>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L535" i="3" s="1"/>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AC542" i="3"/>
  <c r="G542" i="3"/>
  <c r="BB542" i="3"/>
  <c r="BC542" i="3"/>
  <c r="BA542" i="3" s="1"/>
  <c r="AZ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BO547" i="3"/>
  <c r="BP547" i="3"/>
  <c r="BR547" i="3"/>
  <c r="BS547" i="3"/>
  <c r="BT547" i="3"/>
  <c r="H548" i="3"/>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F38" i="40" s="1"/>
  <c r="AA38"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H13" i="34" s="1"/>
  <c r="B71" i="34"/>
  <c r="B130" i="33"/>
  <c r="F46" i="33" s="1"/>
  <c r="B128" i="33"/>
  <c r="B126" i="33"/>
  <c r="H44" i="33" s="1"/>
  <c r="B98" i="33"/>
  <c r="B96" i="33"/>
  <c r="B94" i="33"/>
  <c r="B74" i="33"/>
  <c r="H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F5" i="3" s="1"/>
  <c r="BG586" i="3"/>
  <c r="BH586" i="3"/>
  <c r="BI586" i="3"/>
  <c r="BJ586" i="3"/>
  <c r="BJ5" i="3" s="1"/>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S31" i="35"/>
  <c r="U34" i="35"/>
  <c r="F36" i="34"/>
  <c r="J35" i="34"/>
  <c r="S34" i="34"/>
  <c r="H39" i="33"/>
  <c r="AB39" i="33" s="1"/>
  <c r="F26" i="33"/>
  <c r="U35" i="33"/>
  <c r="S40" i="33"/>
  <c r="W33" i="33"/>
  <c r="S27" i="35"/>
  <c r="F11" i="40"/>
  <c r="AA11" i="40"/>
  <c r="H11" i="40"/>
  <c r="AB11" i="40"/>
  <c r="W8" i="40"/>
  <c r="AC40" i="40"/>
  <c r="AA9" i="40"/>
  <c r="AC9" i="40"/>
  <c r="U9" i="40"/>
  <c r="S34" i="40"/>
  <c r="U38" i="40"/>
  <c r="S40" i="40"/>
  <c r="W31" i="40"/>
  <c r="U34" i="40"/>
  <c r="S38"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E113" i="33"/>
  <c r="F113" i="33" s="1"/>
  <c r="F32" i="33"/>
  <c r="AA32" i="33"/>
  <c r="J19" i="33"/>
  <c r="AC19" i="33"/>
  <c r="J15" i="33"/>
  <c r="AC15" i="33"/>
  <c r="F11" i="33"/>
  <c r="AA11" i="33"/>
  <c r="U40" i="33"/>
  <c r="W40"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F14" i="33"/>
  <c r="J44" i="33"/>
  <c r="AC44" i="33" s="1"/>
  <c r="J46" i="33"/>
  <c r="AC46" i="33" s="1"/>
  <c r="H46" i="33"/>
  <c r="AB46" i="33" s="1"/>
  <c r="J13" i="34"/>
  <c r="W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AB30" i="21"/>
  <c r="W13" i="36"/>
  <c r="W11" i="36"/>
  <c r="AB46" i="34"/>
  <c r="AA14" i="34"/>
  <c r="AB45" i="33"/>
  <c r="U31" i="33"/>
  <c r="U13" i="33"/>
  <c r="AC28" i="21"/>
  <c r="S44" i="34"/>
  <c r="BA585" i="3"/>
  <c r="F17" i="21"/>
  <c r="AA17" i="21"/>
  <c r="H17" i="21"/>
  <c r="AB17" i="21"/>
  <c r="F15" i="21"/>
  <c r="S15" i="21"/>
  <c r="AB11" i="21"/>
  <c r="J41" i="39"/>
  <c r="W41" i="39" s="1"/>
  <c r="AC45" i="39"/>
  <c r="W44" i="39"/>
  <c r="W36" i="39"/>
  <c r="W35" i="39"/>
  <c r="U36" i="39"/>
  <c r="S35" i="39"/>
  <c r="G544" i="3"/>
  <c r="G532" i="3"/>
  <c r="G523" i="3"/>
  <c r="G518" i="3"/>
  <c r="G514" i="3"/>
  <c r="G510" i="3"/>
  <c r="G508" i="3"/>
  <c r="G504" i="3"/>
  <c r="G500" i="3"/>
  <c r="G496" i="3"/>
  <c r="G584" i="3"/>
  <c r="G580" i="3"/>
  <c r="G576" i="3"/>
  <c r="G568" i="3"/>
  <c r="G564" i="3"/>
  <c r="G560" i="3"/>
  <c r="G554" i="3"/>
  <c r="G550" i="3"/>
  <c r="BL584" i="3"/>
  <c r="BL580" i="3"/>
  <c r="BL572" i="3"/>
  <c r="BL568" i="3"/>
  <c r="BL564" i="3"/>
  <c r="BL554" i="3"/>
  <c r="BL542" i="3"/>
  <c r="BL526" i="3"/>
  <c r="BL522" i="3"/>
  <c r="BL516" i="3"/>
  <c r="AZ516" i="3" s="1"/>
  <c r="BL512" i="3"/>
  <c r="BL506" i="3"/>
  <c r="AZ506" i="3" s="1"/>
  <c r="BL502" i="3"/>
  <c r="BL498" i="3"/>
  <c r="BL494" i="3"/>
  <c r="BL582" i="3"/>
  <c r="BL578" i="3"/>
  <c r="BL574" i="3"/>
  <c r="BL566" i="3"/>
  <c r="BL562" i="3"/>
  <c r="BL556" i="3"/>
  <c r="BL552" i="3"/>
  <c r="BL536" i="3"/>
  <c r="BL528" i="3"/>
  <c r="G525" i="3"/>
  <c r="BL524" i="3"/>
  <c r="AZ524" i="3" s="1"/>
  <c r="BL518" i="3"/>
  <c r="BL514" i="3"/>
  <c r="BL510" i="3"/>
  <c r="BL504" i="3"/>
  <c r="BL500" i="3"/>
  <c r="BL496" i="3"/>
  <c r="G493" i="3"/>
  <c r="BA584" i="3"/>
  <c r="AZ584" i="3" s="1"/>
  <c r="BA582" i="3"/>
  <c r="AZ582" i="3"/>
  <c r="BA580" i="3"/>
  <c r="AZ580" i="3"/>
  <c r="BA578" i="3"/>
  <c r="AZ578" i="3"/>
  <c r="BA568" i="3"/>
  <c r="AZ568" i="3"/>
  <c r="BA566" i="3"/>
  <c r="AZ566" i="3"/>
  <c r="BA564" i="3"/>
  <c r="AZ564" i="3"/>
  <c r="BA562" i="3"/>
  <c r="AZ562" i="3"/>
  <c r="BA558" i="3"/>
  <c r="BA556" i="3"/>
  <c r="AZ556" i="3" s="1"/>
  <c r="BA554" i="3"/>
  <c r="AZ554" i="3" s="1"/>
  <c r="BA552" i="3"/>
  <c r="AZ552" i="3" s="1"/>
  <c r="BA544" i="3"/>
  <c r="BA540" i="3"/>
  <c r="BA536" i="3"/>
  <c r="AZ536" i="3" s="1"/>
  <c r="BA532" i="3"/>
  <c r="BA524" i="3"/>
  <c r="BA522" i="3"/>
  <c r="BA520" i="3"/>
  <c r="BA518" i="3"/>
  <c r="AZ518" i="3"/>
  <c r="BA516" i="3"/>
  <c r="BA514" i="3"/>
  <c r="BA512" i="3"/>
  <c r="AZ512" i="3" s="1"/>
  <c r="BA510" i="3"/>
  <c r="AZ510" i="3" s="1"/>
  <c r="BA508" i="3"/>
  <c r="BA506" i="3"/>
  <c r="BA504" i="3"/>
  <c r="BA502" i="3"/>
  <c r="AZ502" i="3" s="1"/>
  <c r="BA500" i="3"/>
  <c r="BA498" i="3"/>
  <c r="AZ498" i="3" s="1"/>
  <c r="BA496" i="3"/>
  <c r="BA494" i="3"/>
  <c r="BA587" i="3"/>
  <c r="BA583" i="3"/>
  <c r="BA581" i="3"/>
  <c r="AZ581" i="3"/>
  <c r="BA579" i="3"/>
  <c r="BA577" i="3"/>
  <c r="AZ577" i="3" s="1"/>
  <c r="BA573" i="3"/>
  <c r="BA569" i="3"/>
  <c r="BA567" i="3"/>
  <c r="BA565" i="3"/>
  <c r="BA563" i="3"/>
  <c r="BA561" i="3"/>
  <c r="AZ561" i="3" s="1"/>
  <c r="BA555" i="3"/>
  <c r="BA553" i="3"/>
  <c r="BA549" i="3"/>
  <c r="BA545" i="3"/>
  <c r="AZ545" i="3" s="1"/>
  <c r="BA537" i="3"/>
  <c r="AZ537" i="3" s="1"/>
  <c r="BA529" i="3"/>
  <c r="AZ529" i="3" s="1"/>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BQ583" i="3"/>
  <c r="BL583" i="3"/>
  <c r="BQ581" i="3"/>
  <c r="BL581" i="3" s="1"/>
  <c r="BQ579" i="3"/>
  <c r="BL579" i="3" s="1"/>
  <c r="AZ579" i="3" s="1"/>
  <c r="BQ577" i="3"/>
  <c r="BL577" i="3"/>
  <c r="BQ575" i="3"/>
  <c r="BQ573" i="3"/>
  <c r="BL573" i="3" s="1"/>
  <c r="AZ573" i="3" s="1"/>
  <c r="BQ571" i="3"/>
  <c r="BL571" i="3"/>
  <c r="BQ569" i="3"/>
  <c r="BL569" i="3" s="1"/>
  <c r="AZ569" i="3" s="1"/>
  <c r="BQ567" i="3"/>
  <c r="BL567" i="3"/>
  <c r="AZ567" i="3" s="1"/>
  <c r="BQ565" i="3"/>
  <c r="BL565" i="3" s="1"/>
  <c r="AZ565" i="3" s="1"/>
  <c r="BQ563" i="3"/>
  <c r="BL563" i="3"/>
  <c r="BQ561" i="3"/>
  <c r="BL561" i="3"/>
  <c r="BQ559" i="3"/>
  <c r="BL559" i="3" s="1"/>
  <c r="G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AZ495" i="3" s="1"/>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AC33" i="36"/>
  <c r="AA12" i="35"/>
  <c r="AB28" i="37"/>
  <c r="U33" i="37"/>
  <c r="W26" i="37"/>
  <c r="AC8" i="37"/>
  <c r="U26" i="37"/>
  <c r="W37" i="34"/>
  <c r="AB37" i="34"/>
  <c r="AC36" i="34"/>
  <c r="AA13" i="33"/>
  <c r="AC45" i="33"/>
  <c r="U11" i="33"/>
  <c r="U19" i="21"/>
  <c r="U26" i="21"/>
  <c r="AB38" i="21"/>
  <c r="F43" i="33"/>
  <c r="AA43" i="33"/>
  <c r="W15" i="34"/>
  <c r="AC15" i="34"/>
  <c r="W16" i="35"/>
  <c r="W40" i="37"/>
  <c r="G107" i="37"/>
  <c r="H107" i="37"/>
  <c r="I107" i="37" s="1"/>
  <c r="J107" i="37" s="1"/>
  <c r="K107" i="37" s="1"/>
  <c r="L107" i="37" s="1"/>
  <c r="M107" i="37" s="1"/>
  <c r="H37" i="21"/>
  <c r="U37" i="21" s="1"/>
  <c r="S42" i="21"/>
  <c r="H19" i="34"/>
  <c r="AB19" i="34"/>
  <c r="F36" i="35"/>
  <c r="S36" i="35"/>
  <c r="J12" i="37"/>
  <c r="W12" i="37"/>
  <c r="H12" i="37"/>
  <c r="AB12" i="37"/>
  <c r="F12" i="37"/>
  <c r="S12" i="37"/>
  <c r="E71" i="37"/>
  <c r="F15" i="37"/>
  <c r="AA15" i="37" s="1"/>
  <c r="E94" i="37"/>
  <c r="F31" i="37"/>
  <c r="S31" i="37"/>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88" i="40"/>
  <c r="G88" i="40" s="1"/>
  <c r="F19" i="40"/>
  <c r="S19" i="40" s="1"/>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S42"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s="1"/>
  <c r="B47" i="48" s="1"/>
  <c r="A2" i="9"/>
  <c r="AZ20" i="3"/>
  <c r="AZ24" i="3"/>
  <c r="AZ28" i="3"/>
  <c r="AZ32" i="3"/>
  <c r="AZ497" i="3"/>
  <c r="BL549" i="3"/>
  <c r="AZ494" i="3"/>
  <c r="AZ514" i="3"/>
  <c r="AZ522"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48" i="3"/>
  <c r="G538" i="3"/>
  <c r="G520" i="3"/>
  <c r="G502" i="3"/>
  <c r="BS5" i="3"/>
  <c r="BP5" i="3"/>
  <c r="G29" i="6" s="1"/>
  <c r="BN5" i="3"/>
  <c r="AZ343" i="3"/>
  <c r="BI5" i="3"/>
  <c r="BE5" i="3"/>
  <c r="G17" i="3"/>
  <c r="BA17" i="3"/>
  <c r="BT5" i="3"/>
  <c r="AZ350" i="3"/>
  <c r="AZ356" i="3"/>
  <c r="AZ364" i="3"/>
  <c r="AZ368" i="3"/>
  <c r="BA15" i="3"/>
  <c r="AZ15" i="3" s="1"/>
  <c r="BB5" i="3"/>
  <c r="E5" i="6" s="1"/>
  <c r="D9" i="11" s="1"/>
  <c r="C9" i="11" s="1"/>
  <c r="BR5" i="3"/>
  <c r="G28" i="6" s="1"/>
  <c r="AZ380" i="3"/>
  <c r="AZ388" i="3"/>
  <c r="AZ396" i="3"/>
  <c r="AZ499" i="3"/>
  <c r="E8" i="6"/>
  <c r="F27" i="6" s="1"/>
  <c r="BL493" i="3"/>
  <c r="AZ493" i="3" s="1"/>
  <c r="AZ491" i="3"/>
  <c r="AZ376" i="3"/>
  <c r="AZ382" i="3"/>
  <c r="U36" i="40"/>
  <c r="H117" i="43"/>
  <c r="D21" i="43"/>
  <c r="F42" i="43"/>
  <c r="I21" i="43"/>
  <c r="F39" i="43"/>
  <c r="J21" i="43"/>
  <c r="F6" i="1"/>
  <c r="U17" i="39"/>
  <c r="U43" i="21"/>
  <c r="U35" i="21"/>
  <c r="AC35" i="21"/>
  <c r="U10" i="21"/>
  <c r="G9" i="1"/>
  <c r="AZ563" i="3"/>
  <c r="W37" i="37"/>
  <c r="W44" i="34"/>
  <c r="AC44" i="34"/>
  <c r="U13" i="37"/>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K6" i="1"/>
  <c r="AC26" i="33"/>
  <c r="W26" i="33"/>
  <c r="AB34" i="36"/>
  <c r="U34" i="36"/>
  <c r="AB33" i="36"/>
  <c r="U33" i="36"/>
  <c r="AC12" i="39"/>
  <c r="W12" i="39"/>
  <c r="AZ401" i="3"/>
  <c r="AZ412" i="3"/>
  <c r="AZ417" i="3"/>
  <c r="AZ428" i="3"/>
  <c r="AZ433" i="3"/>
  <c r="AZ465" i="3"/>
  <c r="E26" i="43"/>
  <c r="W12" i="33"/>
  <c r="AC12" i="33"/>
  <c r="AA32" i="36"/>
  <c r="S32" i="36"/>
  <c r="AZ408" i="3"/>
  <c r="AZ437" i="3"/>
  <c r="AZ441" i="3"/>
  <c r="AZ457" i="3"/>
  <c r="AZ473" i="3"/>
  <c r="AZ490" i="3"/>
  <c r="AA39" i="34"/>
  <c r="BL14" i="3"/>
  <c r="AZ266" i="3"/>
  <c r="AC13"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0" i="69" s="1"/>
  <c r="AA34" i="33"/>
  <c r="B41" i="1"/>
  <c r="F48" i="9" s="1"/>
  <c r="O52" i="9" s="1"/>
  <c r="F53" i="9"/>
  <c r="AB37" i="40"/>
  <c r="S35" i="40"/>
  <c r="U35" i="40"/>
  <c r="W38"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J21" i="39"/>
  <c r="F21" i="39"/>
  <c r="G95" i="39"/>
  <c r="H21"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3" i="36"/>
  <c r="U16" i="36"/>
  <c r="U10" i="36"/>
  <c r="W10" i="36"/>
  <c r="S23" i="35"/>
  <c r="W24" i="35"/>
  <c r="U29" i="35"/>
  <c r="U28" i="35"/>
  <c r="AB27" i="35"/>
  <c r="U36" i="35"/>
  <c r="U32" i="35"/>
  <c r="AA33" i="35"/>
  <c r="AC30" i="35"/>
  <c r="S32" i="35"/>
  <c r="AA36" i="35"/>
  <c r="S28" i="35"/>
  <c r="U22" i="35"/>
  <c r="AC20" i="35"/>
  <c r="U14" i="35"/>
  <c r="AC10" i="35"/>
  <c r="AA10" i="35"/>
  <c r="AB10" i="35"/>
  <c r="AA11" i="35"/>
  <c r="S8" i="35"/>
  <c r="AC9" i="35"/>
  <c r="W9" i="35"/>
  <c r="AC12" i="35"/>
  <c r="F9" i="35"/>
  <c r="H9" i="35"/>
  <c r="F26" i="35"/>
  <c r="AA26" i="35" s="1"/>
  <c r="J26" i="35"/>
  <c r="H26" i="35"/>
  <c r="AB40" i="37"/>
  <c r="S25" i="37"/>
  <c r="S26" i="37"/>
  <c r="U29" i="37"/>
  <c r="S32" i="37"/>
  <c r="AB31" i="37"/>
  <c r="W30" i="37"/>
  <c r="S36" i="37"/>
  <c r="AA38" i="37"/>
  <c r="U32" i="37"/>
  <c r="W38" i="37"/>
  <c r="AC35" i="37"/>
  <c r="S30" i="37"/>
  <c r="AC15" i="37"/>
  <c r="J17" i="37"/>
  <c r="W17" i="37"/>
  <c r="F17" i="37"/>
  <c r="AA17" i="37" s="1"/>
  <c r="AB17" i="37"/>
  <c r="F75" i="37"/>
  <c r="F19" i="37"/>
  <c r="F79" i="37"/>
  <c r="F23" i="37"/>
  <c r="S23" i="37" s="1"/>
  <c r="U23" i="37"/>
  <c r="U15" i="37"/>
  <c r="AC13" i="37"/>
  <c r="AA13" i="37"/>
  <c r="AA12" i="37"/>
  <c r="H10" i="37"/>
  <c r="H60" i="37"/>
  <c r="F63" i="37"/>
  <c r="F11" i="37"/>
  <c r="S11" i="37" s="1"/>
  <c r="AB8" i="34"/>
  <c r="U44" i="34"/>
  <c r="U43" i="34"/>
  <c r="AC39" i="34"/>
  <c r="AC42" i="34"/>
  <c r="U39" i="34"/>
  <c r="AB41" i="34"/>
  <c r="W34" i="34"/>
  <c r="AA25" i="34"/>
  <c r="U28" i="34"/>
  <c r="S17" i="34"/>
  <c r="S23" i="34"/>
  <c r="U15" i="34"/>
  <c r="S10"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c r="W19" i="33"/>
  <c r="J17" i="33"/>
  <c r="F79" i="33"/>
  <c r="S15" i="33"/>
  <c r="W15" i="33"/>
  <c r="U9" i="33"/>
  <c r="I66" i="33"/>
  <c r="J10" i="33"/>
  <c r="H10" i="33"/>
  <c r="AA10"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L17" i="3"/>
  <c r="AZ17" i="3"/>
  <c r="J56" i="9"/>
  <c r="J57" i="9"/>
  <c r="J59" i="9" s="1"/>
  <c r="J61" i="9" s="1"/>
  <c r="A24" i="51"/>
  <c r="B18" i="72"/>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1" i="33"/>
  <c r="AA31" i="33"/>
  <c r="W13" i="33"/>
  <c r="AC13" i="33"/>
  <c r="U15" i="33"/>
  <c r="S11" i="33"/>
  <c r="U37" i="33"/>
  <c r="AC28" i="33"/>
  <c r="S28" i="33"/>
  <c r="W9" i="33"/>
  <c r="W8" i="33"/>
  <c r="AB42" i="21"/>
  <c r="U28" i="21"/>
  <c r="AA11" i="21"/>
  <c r="S45" i="21"/>
  <c r="F33" i="21"/>
  <c r="J33" i="21"/>
  <c r="W33" i="21" s="1"/>
  <c r="H33" i="21"/>
  <c r="AB33" i="21"/>
  <c r="F37" i="21"/>
  <c r="AA37" i="21"/>
  <c r="AA26" i="21"/>
  <c r="AB14" i="21"/>
  <c r="U40" i="21"/>
  <c r="AB31" i="21"/>
  <c r="U31" i="21"/>
  <c r="AC15" i="21"/>
  <c r="W8" i="21"/>
  <c r="S35" i="21"/>
  <c r="AB37" i="21"/>
  <c r="J37" i="21"/>
  <c r="W37" i="21"/>
  <c r="H15" i="21"/>
  <c r="U15" i="21"/>
  <c r="J17" i="21"/>
  <c r="AC17" i="21"/>
  <c r="AC19" i="21"/>
  <c r="W39" i="21"/>
  <c r="AC14" i="21"/>
  <c r="W30" i="21"/>
  <c r="H45" i="21"/>
  <c r="U45" i="21" s="1"/>
  <c r="F29" i="21"/>
  <c r="S29" i="21" s="1"/>
  <c r="F13" i="21"/>
  <c r="AA13" i="21" s="1"/>
  <c r="AC38" i="21"/>
  <c r="H32" i="21"/>
  <c r="H9" i="21"/>
  <c r="U9" i="21" s="1"/>
  <c r="J9" i="21"/>
  <c r="J32" i="21"/>
  <c r="AC32" i="21" s="1"/>
  <c r="F32" i="21"/>
  <c r="AA31" i="21"/>
  <c r="U17" i="21"/>
  <c r="S19" i="21"/>
  <c r="S9" i="21"/>
  <c r="AA9" i="21"/>
  <c r="K141" i="21"/>
  <c r="K144" i="21"/>
  <c r="K143" i="21"/>
  <c r="AB25" i="21"/>
  <c r="AA30" i="21"/>
  <c r="W42" i="21"/>
  <c r="AC45" i="21"/>
  <c r="F10" i="21"/>
  <c r="S10" i="21" s="1"/>
  <c r="K145" i="21"/>
  <c r="W17" i="21"/>
  <c r="W25" i="21"/>
  <c r="AA29" i="21"/>
  <c r="W31" i="21"/>
  <c r="S17" i="21"/>
  <c r="AA15" i="21"/>
  <c r="AC26"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M6" i="1"/>
  <c r="O6" i="1" s="1"/>
  <c r="P6" i="1" s="1"/>
  <c r="F30" i="68"/>
  <c r="F48" i="68" s="1"/>
  <c r="F30" i="11"/>
  <c r="C48" i="11" s="1"/>
  <c r="F28" i="67"/>
  <c r="C28" i="67" s="1"/>
  <c r="F31" i="12"/>
  <c r="F52" i="9"/>
  <c r="M18" i="67"/>
  <c r="F32" i="67"/>
  <c r="F60" i="67" s="1"/>
  <c r="F30" i="69"/>
  <c r="F48" i="69" s="1"/>
  <c r="F32" i="15"/>
  <c r="F60" i="15" s="1"/>
  <c r="M18" i="15"/>
  <c r="F28" i="15"/>
  <c r="T11" i="1"/>
  <c r="T13" i="1"/>
  <c r="S7" i="1"/>
  <c r="AR7" i="1" s="1"/>
  <c r="E7" i="70"/>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D6" i="52"/>
  <c r="AP7" i="1"/>
  <c r="AC33" i="21"/>
  <c r="S33" i="21"/>
  <c r="AA33" i="21"/>
  <c r="W32" i="21"/>
  <c r="AB9" i="21"/>
  <c r="AA32" i="21"/>
  <c r="S32" i="21"/>
  <c r="W9" i="21"/>
  <c r="AC9" i="21"/>
  <c r="AB32" i="21"/>
  <c r="U32" i="21"/>
  <c r="AA10" i="21"/>
  <c r="C30" i="11"/>
  <c r="E6" i="70"/>
  <c r="E2" i="70" s="1"/>
  <c r="A18" i="62"/>
  <c r="B64" i="72" s="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E6" i="1"/>
  <c r="AG6" i="1"/>
  <c r="H109" i="9"/>
  <c r="M49" i="9" s="1"/>
  <c r="H110" i="9"/>
  <c r="D18" i="53" s="1"/>
  <c r="B35" i="72" s="1"/>
  <c r="D16" i="53"/>
  <c r="B34" i="72" s="1"/>
  <c r="H112" i="9"/>
  <c r="D21" i="53"/>
  <c r="B39" i="72" s="1"/>
  <c r="H111" i="9"/>
  <c r="D126" i="9" s="1"/>
  <c r="D19" i="53"/>
  <c r="B38" i="72" s="1"/>
  <c r="D20" i="53"/>
  <c r="B40" i="72" s="1"/>
  <c r="J1" i="73"/>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81" i="71"/>
  <c r="D73" i="71"/>
  <c r="B68" i="71"/>
  <c r="M11" i="43"/>
  <c r="E62" i="43"/>
  <c r="B60" i="43" s="1"/>
  <c r="B117" i="43"/>
  <c r="I122" i="43" s="1"/>
  <c r="J122" i="43" s="1"/>
  <c r="K122" i="43" s="1"/>
  <c r="L122" i="43" s="1"/>
  <c r="M122" i="43" s="1"/>
  <c r="N94" i="46"/>
  <c r="G26" i="43"/>
  <c r="D23" i="67"/>
  <c r="G25" i="12"/>
  <c r="G41" i="11"/>
  <c r="G27" i="12"/>
  <c r="G41" i="68"/>
  <c r="K4" i="4"/>
  <c r="B46" i="48" s="1"/>
  <c r="B4" i="72" s="1"/>
  <c r="B4" i="62"/>
  <c r="B71" i="72"/>
  <c r="D9" i="53"/>
  <c r="B25" i="72"/>
  <c r="B24" i="72"/>
  <c r="K120" i="9"/>
  <c r="B67" i="71"/>
  <c r="O67" i="71" s="1"/>
  <c r="O68" i="71"/>
  <c r="M32" i="43"/>
  <c r="N32" i="43"/>
  <c r="O32" i="43"/>
  <c r="P32" i="43"/>
  <c r="C24" i="43"/>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B11" i="76"/>
  <c r="M8" i="15"/>
  <c r="F13" i="67"/>
  <c r="C76" i="15"/>
  <c r="F42" i="15"/>
  <c r="E11" i="76"/>
  <c r="F40" i="67"/>
  <c r="AO11" i="1"/>
  <c r="F4" i="73"/>
  <c r="B9" i="76"/>
  <c r="M23" i="67"/>
  <c r="M22" i="15"/>
  <c r="E13" i="76"/>
  <c r="F5" i="73"/>
  <c r="E12" i="76"/>
  <c r="F6" i="67"/>
  <c r="B13" i="76"/>
  <c r="M27" i="15"/>
  <c r="F38" i="15"/>
  <c r="F16" i="15"/>
  <c r="D20" i="9"/>
  <c r="F7" i="67"/>
  <c r="F8" i="15"/>
  <c r="D7" i="73"/>
  <c r="M6" i="67"/>
  <c r="F20" i="31"/>
  <c r="F38" i="67"/>
  <c r="M23" i="15"/>
  <c r="M8" i="67"/>
  <c r="F37" i="15"/>
  <c r="M6" i="15"/>
  <c r="J15" i="15"/>
  <c r="D5" i="73"/>
  <c r="E8" i="76"/>
  <c r="M29" i="15"/>
  <c r="AO10" i="1"/>
  <c r="F43" i="67"/>
  <c r="M28" i="15"/>
  <c r="AO13" i="1"/>
  <c r="F40" i="15"/>
  <c r="F41" i="15"/>
  <c r="D2" i="37"/>
  <c r="D2" i="36"/>
  <c r="F3" i="73"/>
  <c r="AO7" i="1"/>
  <c r="F13" i="15"/>
  <c r="D34" i="9"/>
  <c r="M9" i="15"/>
  <c r="D2" i="34"/>
  <c r="AO12" i="1"/>
  <c r="L48" i="15"/>
  <c r="E7" i="76"/>
  <c r="C48" i="68" l="1"/>
  <c r="L68" i="9"/>
  <c r="M68" i="9" s="1"/>
  <c r="L65" i="9"/>
  <c r="M65" i="9" s="1"/>
  <c r="L66" i="9"/>
  <c r="M66" i="9" s="1"/>
  <c r="L64" i="9"/>
  <c r="M64" i="9" s="1"/>
  <c r="L63" i="9"/>
  <c r="M63" i="9" s="1"/>
  <c r="M69" i="9" s="1"/>
  <c r="N69" i="9" s="1"/>
  <c r="L67" i="9"/>
  <c r="M67" i="9" s="1"/>
  <c r="W9" i="37"/>
  <c r="AC9" i="37"/>
  <c r="AZ534" i="3"/>
  <c r="I14" i="74"/>
  <c r="B8" i="74" s="1"/>
  <c r="D127" i="9"/>
  <c r="D13" i="52" s="1"/>
  <c r="D12" i="52"/>
  <c r="U14" i="33"/>
  <c r="AB14" i="33"/>
  <c r="AA46" i="33"/>
  <c r="S46" i="33"/>
  <c r="U13" i="34"/>
  <c r="AB13" i="34"/>
  <c r="C31" i="12"/>
  <c r="AZ583" i="3"/>
  <c r="AZ532" i="3"/>
  <c r="AZ544" i="3"/>
  <c r="S14" i="33"/>
  <c r="AA14" i="33"/>
  <c r="U11" i="36"/>
  <c r="AB11" i="36"/>
  <c r="AA26" i="33"/>
  <c r="S26" i="33"/>
  <c r="BA586" i="3"/>
  <c r="AZ586" i="3" s="1"/>
  <c r="J27" i="21"/>
  <c r="H27" i="21"/>
  <c r="F27" i="21"/>
  <c r="H46" i="21"/>
  <c r="J46" i="21"/>
  <c r="F46"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BA547" i="3"/>
  <c r="AZ547" i="3" s="1"/>
  <c r="BL546" i="3"/>
  <c r="BA546" i="3"/>
  <c r="AZ546" i="3" s="1"/>
  <c r="BA543" i="3"/>
  <c r="AZ543" i="3" s="1"/>
  <c r="BL540" i="3"/>
  <c r="AZ540" i="3" s="1"/>
  <c r="BA539" i="3"/>
  <c r="AZ539" i="3" s="1"/>
  <c r="BL538" i="3"/>
  <c r="AZ538" i="3" s="1"/>
  <c r="BA535" i="3"/>
  <c r="AZ535" i="3" s="1"/>
  <c r="BA531" i="3"/>
  <c r="AZ531" i="3" s="1"/>
  <c r="BL530" i="3"/>
  <c r="AZ530" i="3" s="1"/>
  <c r="BA528" i="3"/>
  <c r="AZ528" i="3" s="1"/>
  <c r="BA527" i="3"/>
  <c r="AZ527" i="3" s="1"/>
  <c r="BA526" i="3"/>
  <c r="AZ526" i="3" s="1"/>
  <c r="D123" i="43"/>
  <c r="E123" i="43" s="1"/>
  <c r="F123" i="43" s="1"/>
  <c r="G123" i="43" s="1"/>
  <c r="H123" i="43" s="1"/>
  <c r="D17" i="53"/>
  <c r="B36" i="72" s="1"/>
  <c r="D124" i="9"/>
  <c r="AB45" i="21"/>
  <c r="S13" i="21"/>
  <c r="C48" i="69"/>
  <c r="AC11" i="33"/>
  <c r="U27" i="34"/>
  <c r="S43" i="34"/>
  <c r="AB35" i="34"/>
  <c r="W41" i="34"/>
  <c r="AA33" i="34"/>
  <c r="W25" i="34"/>
  <c r="S37" i="37"/>
  <c r="AC29" i="37"/>
  <c r="S22" i="35"/>
  <c r="S20" i="35"/>
  <c r="AB16" i="35"/>
  <c r="W32" i="35"/>
  <c r="S14" i="36"/>
  <c r="AB20" i="36"/>
  <c r="AC13" i="39"/>
  <c r="AB15" i="39"/>
  <c r="AC15" i="39"/>
  <c r="S25" i="39"/>
  <c r="S30" i="40"/>
  <c r="AA32" i="40"/>
  <c r="AC36" i="40"/>
  <c r="AC34" i="33"/>
  <c r="S19" i="39"/>
  <c r="S15" i="37"/>
  <c r="AC11" i="39"/>
  <c r="S14" i="35"/>
  <c r="G509" i="3"/>
  <c r="BM5" i="3"/>
  <c r="F29" i="6" s="1"/>
  <c r="F30" i="6" s="1"/>
  <c r="F31" i="6" s="1"/>
  <c r="W14" i="39"/>
  <c r="U40" i="39"/>
  <c r="AA25" i="21"/>
  <c r="F12" i="39"/>
  <c r="F9" i="37"/>
  <c r="H9" i="37"/>
  <c r="W44" i="33"/>
  <c r="AC31" i="33"/>
  <c r="AC32" i="36"/>
  <c r="AA12" i="21"/>
  <c r="AZ587" i="3"/>
  <c r="AZ504" i="3"/>
  <c r="AZ558" i="3"/>
  <c r="AB11" i="35"/>
  <c r="F14" i="39"/>
  <c r="F13" i="34"/>
  <c r="F44" i="33"/>
  <c r="J30" i="33"/>
  <c r="J14" i="33"/>
  <c r="AA11" i="36"/>
  <c r="S11" i="36"/>
  <c r="AC11" i="35"/>
  <c r="W11" i="35"/>
  <c r="W30" i="34"/>
  <c r="AC30" i="34"/>
  <c r="AA45" i="33"/>
  <c r="S45" i="33"/>
  <c r="AC29" i="33"/>
  <c r="W29" i="33"/>
  <c r="U26" i="33"/>
  <c r="AB26" i="33"/>
  <c r="U8" i="33"/>
  <c r="AB30" i="35"/>
  <c r="U30" i="35"/>
  <c r="H39" i="37"/>
  <c r="S9" i="33"/>
  <c r="H12" i="21"/>
  <c r="BL585" i="3"/>
  <c r="AZ585" i="3" s="1"/>
  <c r="H13" i="21"/>
  <c r="J13" i="21"/>
  <c r="J29" i="21"/>
  <c r="H29" i="21"/>
  <c r="J44" i="21"/>
  <c r="H44" i="21"/>
  <c r="F44" i="21"/>
  <c r="AA8" i="33"/>
  <c r="S8" i="33"/>
  <c r="AB34" i="34"/>
  <c r="U34" i="34"/>
  <c r="AC36" i="35"/>
  <c r="W36" i="35"/>
  <c r="H23" i="35"/>
  <c r="J23" i="35"/>
  <c r="H27" i="37"/>
  <c r="F27" i="37"/>
  <c r="J27" i="37"/>
  <c r="AA34" i="39"/>
  <c r="S34" i="39"/>
  <c r="J12" i="40"/>
  <c r="F12" i="40"/>
  <c r="H12" i="40"/>
  <c r="H14" i="40"/>
  <c r="J14" i="40"/>
  <c r="F14" i="40"/>
  <c r="J39" i="40"/>
  <c r="H39" i="40"/>
  <c r="BL576" i="3"/>
  <c r="BA576" i="3"/>
  <c r="AZ576" i="3" s="1"/>
  <c r="BL575" i="3"/>
  <c r="BA575" i="3"/>
  <c r="AZ575" i="3" s="1"/>
  <c r="BA574" i="3"/>
  <c r="AZ574" i="3" s="1"/>
  <c r="BA572" i="3"/>
  <c r="AZ572" i="3" s="1"/>
  <c r="BA571" i="3"/>
  <c r="AZ571" i="3" s="1"/>
  <c r="BL570" i="3"/>
  <c r="BA570" i="3"/>
  <c r="BL560" i="3"/>
  <c r="BA560" i="3"/>
  <c r="BA559" i="3"/>
  <c r="AZ559" i="3" s="1"/>
  <c r="BA557" i="3"/>
  <c r="AZ557" i="3" s="1"/>
  <c r="BA551" i="3"/>
  <c r="AZ551" i="3" s="1"/>
  <c r="AZ409" i="3"/>
  <c r="AZ416" i="3"/>
  <c r="AZ425" i="3"/>
  <c r="AZ432" i="3"/>
  <c r="AZ445" i="3"/>
  <c r="AZ447" i="3"/>
  <c r="AZ464" i="3"/>
  <c r="AZ467" i="3"/>
  <c r="AZ474" i="3"/>
  <c r="AZ480" i="3"/>
  <c r="AZ482" i="3"/>
  <c r="AZ486" i="3"/>
  <c r="AZ488" i="3"/>
  <c r="BL550" i="3"/>
  <c r="AZ550" i="3" s="1"/>
  <c r="BK5" i="3"/>
  <c r="BG5" i="3"/>
  <c r="BC5" i="3"/>
  <c r="AZ177" i="3"/>
  <c r="AZ193" i="3"/>
  <c r="AZ92" i="3"/>
  <c r="AZ103" i="3"/>
  <c r="AZ36" i="3"/>
  <c r="AZ46" i="3"/>
  <c r="AZ57" i="3"/>
  <c r="AZ62" i="3"/>
  <c r="AZ65" i="3"/>
  <c r="AZ76" i="3"/>
  <c r="AZ112" i="3"/>
  <c r="R25" i="77"/>
  <c r="R5" i="77" s="1"/>
  <c r="U5" i="77" s="1"/>
  <c r="AB21" i="21"/>
  <c r="D26" i="43"/>
  <c r="C25" i="43" s="1"/>
  <c r="C84" i="71"/>
  <c r="F76" i="71"/>
  <c r="F75" i="71" s="1"/>
  <c r="F72" i="71"/>
  <c r="F71" i="71" s="1"/>
  <c r="C68" i="71"/>
  <c r="R68" i="71"/>
  <c r="F68" i="71"/>
  <c r="B28" i="71"/>
  <c r="B27" i="71" s="1"/>
  <c r="B44" i="71"/>
  <c r="B45" i="71" s="1"/>
  <c r="T45" i="71" s="1"/>
  <c r="B48" i="71"/>
  <c r="B49" i="71" s="1"/>
  <c r="T49" i="71" s="1"/>
  <c r="C23" i="43"/>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Q68" i="71" l="1"/>
  <c r="F67" i="71"/>
  <c r="C67" i="71"/>
  <c r="P68" i="71"/>
  <c r="D68" i="71"/>
  <c r="U39" i="40"/>
  <c r="AB39" i="40"/>
  <c r="AA14" i="40"/>
  <c r="S14" i="40"/>
  <c r="AB14" i="40"/>
  <c r="U14" i="40"/>
  <c r="S12" i="40"/>
  <c r="AA12" i="40"/>
  <c r="AC27" i="37"/>
  <c r="W27" i="37"/>
  <c r="U27" i="37"/>
  <c r="AB27" i="37"/>
  <c r="U23" i="35"/>
  <c r="AB23" i="35"/>
  <c r="AB44" i="21"/>
  <c r="U44" i="21"/>
  <c r="AB29" i="21"/>
  <c r="U29" i="21"/>
  <c r="AC13" i="21"/>
  <c r="W13" i="21"/>
  <c r="W30" i="33"/>
  <c r="AC30" i="33"/>
  <c r="AA13" i="34"/>
  <c r="S13" i="34"/>
  <c r="U9" i="37"/>
  <c r="AB9" i="37"/>
  <c r="S12" i="39"/>
  <c r="AA12" i="39"/>
  <c r="D10" i="52"/>
  <c r="D125" i="9"/>
  <c r="D11" i="52" s="1"/>
  <c r="H14" i="74"/>
  <c r="B7" i="74" s="1"/>
  <c r="AA39" i="37"/>
  <c r="S39" i="37"/>
  <c r="AC14" i="37"/>
  <c r="W14" i="37"/>
  <c r="U14" i="37"/>
  <c r="AB14" i="37"/>
  <c r="AC24" i="36"/>
  <c r="W24" i="36"/>
  <c r="U12" i="36"/>
  <c r="AB12" i="36"/>
  <c r="U35" i="35"/>
  <c r="AB35" i="35"/>
  <c r="W35" i="35"/>
  <c r="AC35" i="35"/>
  <c r="S25" i="35"/>
  <c r="AA25" i="35"/>
  <c r="AB13" i="35"/>
  <c r="U13" i="35"/>
  <c r="AA13" i="35"/>
  <c r="S13" i="35"/>
  <c r="AA47" i="34"/>
  <c r="S47" i="34"/>
  <c r="AA45" i="34"/>
  <c r="S45" i="34"/>
  <c r="AB45" i="34"/>
  <c r="U45" i="34"/>
  <c r="U31" i="34"/>
  <c r="AB31" i="34"/>
  <c r="U29" i="34"/>
  <c r="AB29" i="34"/>
  <c r="AA30" i="33"/>
  <c r="S30" i="33"/>
  <c r="AA27" i="34"/>
  <c r="S27" i="34"/>
  <c r="S46" i="21"/>
  <c r="AA46" i="21"/>
  <c r="AB46" i="21"/>
  <c r="U46" i="21"/>
  <c r="U27" i="21"/>
  <c r="AB27" i="21"/>
  <c r="E29" i="6"/>
  <c r="K15" i="1" s="1"/>
  <c r="F7" i="34"/>
  <c r="E38" i="77"/>
  <c r="E39" i="77" s="1"/>
  <c r="C40" i="77" s="1"/>
  <c r="E26" i="77"/>
  <c r="E32" i="77" s="1"/>
  <c r="E29" i="77"/>
  <c r="C83" i="71"/>
  <c r="D83" i="71" s="1"/>
  <c r="D84" i="71"/>
  <c r="AZ560" i="3"/>
  <c r="AZ570" i="3"/>
  <c r="W39" i="40"/>
  <c r="AC39" i="40"/>
  <c r="W14" i="40"/>
  <c r="AC14" i="40"/>
  <c r="U12" i="40"/>
  <c r="AB12" i="40"/>
  <c r="W12" i="40"/>
  <c r="AC12" i="40"/>
  <c r="S27" i="37"/>
  <c r="AA27" i="37"/>
  <c r="AC23" i="35"/>
  <c r="W23" i="35"/>
  <c r="AA44" i="21"/>
  <c r="S44" i="21"/>
  <c r="AC44" i="21"/>
  <c r="W44" i="21"/>
  <c r="W29" i="21"/>
  <c r="AC29" i="21"/>
  <c r="AB13" i="21"/>
  <c r="U13" i="21"/>
  <c r="AB12" i="21"/>
  <c r="U12" i="21"/>
  <c r="AB39" i="37"/>
  <c r="U39" i="37"/>
  <c r="W14" i="33"/>
  <c r="AC14" i="33"/>
  <c r="S44" i="33"/>
  <c r="AA44" i="33"/>
  <c r="AA14" i="39"/>
  <c r="S14" i="39"/>
  <c r="S9" i="37"/>
  <c r="AA9" i="37"/>
  <c r="AC39" i="37"/>
  <c r="W39" i="37"/>
  <c r="AA14" i="37"/>
  <c r="S14" i="37"/>
  <c r="U24" i="36"/>
  <c r="AB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U30" i="33"/>
  <c r="AB30" i="33"/>
  <c r="AC27" i="34"/>
  <c r="W27" i="34"/>
  <c r="W46" i="21"/>
  <c r="AC46" i="21"/>
  <c r="AA27" i="21"/>
  <c r="S27" i="21"/>
  <c r="W27" i="21"/>
  <c r="AC27" i="2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S7" i="33" l="1"/>
  <c r="Q66" i="71"/>
  <c r="Q67" i="71"/>
  <c r="B2" i="77"/>
  <c r="B3" i="77" s="1"/>
  <c r="C41" i="77"/>
  <c r="P66" i="71"/>
  <c r="D67" i="71"/>
  <c r="P67" i="7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C46" i="15" l="1"/>
  <c r="B2" i="15"/>
  <c r="B3" i="15" s="1"/>
  <c r="Q65" i="15"/>
  <c r="Q75" i="15" s="1"/>
  <c r="C83" i="15"/>
  <c r="C82" i="15" s="1"/>
  <c r="Q56" i="15"/>
  <c r="Q62" i="15" s="1"/>
  <c r="Q47" i="15"/>
  <c r="Q53"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U7" i="37"/>
  <c r="AB7" i="37"/>
  <c r="T42" i="37" s="1"/>
  <c r="G42" i="37" s="1"/>
  <c r="O68" i="39"/>
  <c r="O70" i="39" s="1"/>
  <c r="N70" i="39"/>
  <c r="R43" i="37"/>
  <c r="E42" i="37"/>
  <c r="AC7" i="37"/>
  <c r="V42" i="37" s="1"/>
  <c r="I42" i="37" s="1"/>
  <c r="W7" i="37"/>
  <c r="C13" i="71"/>
  <c r="D14" i="71"/>
  <c r="J7" i="40" l="1"/>
  <c r="W7" i="40" s="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B21" i="72"/>
  <c r="D7" i="53"/>
  <c r="H102" i="9"/>
  <c r="E81" i="9"/>
  <c r="E80" i="9"/>
  <c r="C80" i="9"/>
  <c r="B47" i="72"/>
  <c r="D4" i="52"/>
  <c r="B52" i="72"/>
  <c r="G4" i="52"/>
  <c r="C5" i="74"/>
  <c r="B5" i="74"/>
  <c r="D5" i="74"/>
  <c r="E97" i="9"/>
  <c r="E96" i="9"/>
  <c r="C96" i="9"/>
  <c r="H5" i="52"/>
  <c r="H119" i="9"/>
  <c r="B32" i="72"/>
  <c r="D14" i="53"/>
  <c r="C86" i="9"/>
  <c r="C93" i="9"/>
  <c r="D8" i="52"/>
  <c r="B31" i="72"/>
  <c r="D15" i="53"/>
  <c r="H108" i="9"/>
  <c r="B22" i="72"/>
  <c r="D6" i="53"/>
  <c r="M54" i="9"/>
  <c r="C85" i="9"/>
  <c r="C95" i="9"/>
  <c r="C97" i="9"/>
  <c r="D58" i="9"/>
  <c r="D56" i="9"/>
  <c r="B51" i="72"/>
  <c r="F4" i="52"/>
  <c r="C73" i="9"/>
  <c r="C78" i="9"/>
  <c r="C72" i="9"/>
  <c r="C79" i="9"/>
  <c r="C81" i="9"/>
  <c r="C105" i="9"/>
  <c r="I4" i="52"/>
  <c r="N60" i="9"/>
  <c r="N59" i="9"/>
  <c r="N61" i="9"/>
  <c r="M48" i="9"/>
  <c r="D6" i="74"/>
  <c r="G14" i="74"/>
  <c r="B6" i="74"/>
  <c r="C6" i="74"/>
  <c r="F14" i="74"/>
  <c r="D14" i="74"/>
  <c r="E14" i="74"/>
  <c r="D59" i="9"/>
  <c r="M55" i="9"/>
  <c r="N58" i="9"/>
  <c r="D55" i="9"/>
  <c r="M53" i="9"/>
  <c r="N57" i="9"/>
  <c r="P57" i="9"/>
  <c r="C104" i="9"/>
  <c r="H4" i="52"/>
  <c r="D13" i="53"/>
  <c r="B30" i="72"/>
  <c r="D53" i="9"/>
  <c r="D52" i="9"/>
  <c r="G118" i="9"/>
  <c r="F118" i="9"/>
  <c r="F119" i="9"/>
  <c r="F5" i="52"/>
  <c r="B53" i="72"/>
  <c r="H107" i="9"/>
  <c r="D122" i="9"/>
  <c r="D123" i="9"/>
  <c r="D9" i="52"/>
  <c r="D5" i="53"/>
  <c r="B20" i="72"/>
  <c r="D118" i="9"/>
  <c r="D119" i="9"/>
  <c r="D5" i="52"/>
  <c r="B49" i="72"/>
  <c r="H101" i="9"/>
  <c r="D45" i="9"/>
  <c r="C64" i="9"/>
  <c r="C63" i="9"/>
  <c r="C67" i="9"/>
  <c r="C68" i="9"/>
  <c r="D54"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<sst xmlns="http://schemas.openxmlformats.org/spreadsheetml/2006/main" count="7723" uniqueCount="3115">
  <si>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</si>
  <si>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</si>
  <si>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</si>
  <si>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</si>
  <si>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</si>
  <si>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</si>
  <si>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</si>
  <si>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</si>
  <si>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</si>
  <si>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</si>
  <si>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</si>
  <si>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</si>
  <si>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</si>
  <si>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</si>
  <si>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</si>
  <si>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</si>
  <si>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</si>
  <si>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</si>
  <si>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</si>
  <si>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</si>
  <si>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</si>
  <si>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</si>
  <si>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</si>
  <si>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</si>
  <si>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</si>
  <si>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</si>
  <si>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</si>
  <si>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</si>
  <si>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</si>
  <si>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</si>
  <si>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</si>
  <si>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</si>
  <si>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</si>
  <si>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</si>
  <si>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</si>
  <si>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</si>
  <si>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</si>
  <si>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</si>
  <si>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</si>
  <si>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</si>
  <si>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</si>
  <si>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</si>
  <si>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</si>
  <si>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</si>
  <si>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</si>
  <si>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</si>
  <si>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</si>
  <si>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</si>
  <si>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</si>
  <si>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</si>
  <si>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</si>
  <si>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</si>
  <si>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</si>
  <si>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</si>
  <si>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</si>
  <si>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</si>
  <si>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</si>
  <si>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</si>
  <si>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</si>
  <si>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</si>
  <si>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</si>
  <si>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</si>
  <si>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</si>
  <si>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</si>
  <si>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</si>
  <si>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</si>
  <si>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</si>
  <si>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</si>
  <si>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</si>
  <si>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</si>
  <si>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</si>
  <si>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</si>
  <si>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</si>
  <si>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</si>
  <si>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</si>
  <si>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</si>
  <si>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</si>
  <si>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</si>
  <si>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</si>
  <si>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</si>
  <si>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</si>
  <si>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</si>
  <si>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</si>
  <si>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</si>
  <si>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</si>
  <si>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</si>
  <si>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</si>
  <si>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</si>
  <si>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</si>
  <si>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</si>
  <si>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</si>
  <si>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</si>
  <si>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</si>
  <si>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</si>
  <si>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</si>
  <si>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</si>
  <si>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</si>
  <si>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</si>
  <si>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</si>
  <si>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</si>
  <si>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</si>
  <si>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</si>
  <si>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</si>
  <si>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</si>
  <si>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</si>
  <si>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</si>
  <si>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</si>
  <si>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</si>
  <si>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</si>
  <si>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</si>
  <si>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</si>
  <si>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</si>
  <si>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</si>
  <si>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</si>
  <si>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</si>
  <si>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</si>
  <si>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</si>
  <si>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</si>
  <si>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</si>
  <si>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</si>
  <si>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</si>
  <si>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</si>
  <si>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</si>
  <si>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</si>
  <si>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</si>
  <si>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</si>
  <si>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</si>
  <si>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</si>
  <si>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</si>
  <si>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</si>
  <si>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</si>
  <si>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</si>
  <si>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</si>
  <si>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</si>
  <si>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</si>
  <si>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</si>
  <si>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</si>
  <si>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</si>
  <si>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</si>
  <si>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</si>
  <si>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</si>
  <si>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</si>
  <si>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</si>
  <si>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</si>
  <si>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</si>
  <si>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</si>
  <si>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</si>
  <si>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</si>
  <si>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</si>
  <si>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</si>
  <si>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</si>
  <si>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</si>
  <si>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</si>
  <si>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</si>
  <si>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</si>
  <si>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</si>
  <si>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</si>
  <si>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</si>
  <si>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</si>
  <si>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</si>
  <si>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</si>
  <si>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</si>
  <si>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</si>
  <si>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</si>
  <si>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</si>
  <si>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</si>
  <si>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</si>
  <si>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</si>
  <si>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</si>
  <si>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</si>
  <si>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</si>
  <si>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</si>
  <si>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</si>
  <si>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</si>
  <si>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</si>
  <si>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</si>
  <si>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</si>
  <si>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</si>
  <si>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</si>
  <si>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</si>
  <si>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</si>
  <si>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</si>
  <si>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</si>
  <si>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</si>
  <si>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</si>
  <si>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</si>
  <si>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</si>
  <si>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</si>
  <si>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</si>
  <si>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</si>
  <si>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</si>
  <si>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</si>
  <si>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</si>
  <si>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</si>
  <si>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</si>
  <si>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</si>
  <si>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</si>
  <si>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</si>
  <si>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</si>
  <si>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</si>
  <si>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</si>
  <si>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</si>
  <si>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</si>
  <si>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</si>
  <si>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</si>
  <si>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</si>
  <si>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</si>
  <si>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</si>
  <si>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</si>
  <si>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</si>
  <si>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</si>
  <si>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</si>
  <si>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</si>
  <si>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</si>
  <si>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</si>
  <si>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</si>
  <si>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</si>
  <si>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</si>
  <si>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</si>
  <si>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</si>
  <si>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</si>
  <si>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</si>
  <si>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</si>
  <si>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</si>
  <si>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</si>
  <si>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</si>
  <si>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</si>
  <si>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</si>
  <si>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</si>
  <si>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</si>
  <si>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</si>
  <si>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</si>
  <si>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</si>
  <si>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</si>
  <si>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</si>
  <si>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</si>
  <si>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</si>
  <si>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</si>
  <si>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</si>
  <si>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</si>
  <si>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</si>
  <si>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</si>
  <si>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</si>
  <si>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</si>
  <si>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</si>
  <si>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</si>
  <si>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</si>
  <si>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</si>
  <si>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</si>
  <si>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</si>
  <si>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</si>
  <si>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</si>
  <si>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</si>
  <si>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</si>
  <si>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</si>
  <si>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</si>
  <si>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</si>
  <si>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</si>
  <si>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</si>
  <si>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</si>
  <si>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</si>
  <si>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</si>
  <si>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</si>
  <si>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</si>
  <si>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</si>
  <si>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</si>
  <si>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</si>
  <si>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</si>
  <si>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</si>
  <si>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</si>
  <si>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</si>
  <si>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</si>
  <si>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</si>
  <si>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</si>
  <si>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</si>
  <si>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</si>
  <si>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</si>
  <si>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</si>
  <si>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</si>
  <si>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</si>
  <si>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</si>
  <si>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</si>
  <si>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</si>
  <si>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</si>
  <si>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</si>
  <si>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</si>
  <si>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</si>
  <si>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</si>
  <si>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</si>
  <si>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</si>
  <si>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</si>
  <si>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</si>
  <si>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</si>
  <si>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</si>
  <si>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</si>
  <si>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</si>
  <si>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</si>
  <si>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</si>
  <si>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</si>
  <si>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</si>
  <si>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</si>
  <si>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</si>
  <si>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</si>
  <si>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</si>
  <si>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</si>
  <si>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</si>
  <si>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</si>
  <si>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</si>
  <si>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</si>
  <si>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</si>
  <si>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</si>
  <si>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</si>
  <si>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</si>
  <si>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</si>
  <si>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</si>
  <si>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</si>
  <si>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</si>
  <si>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</si>
  <si>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</si>
  <si>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</si>
  <si>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</si>
  <si>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</si>
  <si>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</si>
  <si>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</si>
  <si>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</si>
  <si>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</si>
  <si>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</si>
  <si>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</si>
  <si>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</si>
  <si>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</si>
  <si>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</si>
  <si>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</si>
  <si>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</si>
  <si>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</si>
  <si>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</si>
  <si>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</si>
  <si>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</si>
  <si>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</si>
  <si>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</si>
  <si>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</si>
  <si>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</si>
  <si>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</si>
  <si>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</si>
  <si>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</si>
  <si>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</si>
  <si>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</si>
  <si>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</si>
  <si>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</si>
  <si>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</si>
  <si>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</si>
  <si>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</si>
  <si>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</si>
  <si>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</si>
  <si>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</si>
  <si>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</si>
  <si>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</si>
  <si>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</si>
  <si>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</si>
  <si>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</si>
  <si>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</si>
  <si>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</si>
  <si>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</si>
  <si>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</si>
  <si>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</si>
  <si>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</si>
  <si>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</si>
  <si>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</si>
  <si>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</si>
  <si>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</si>
  <si>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</si>
  <si>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</si>
  <si>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</si>
  <si>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</si>
  <si>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</si>
  <si>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</si>
  <si>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</si>
  <si>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</si>
  <si>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</si>
  <si>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</si>
  <si>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</si>
  <si>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</si>
  <si>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</si>
  <si>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</si>
  <si>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</si>
  <si>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</si>
  <si>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</si>
  <si>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</si>
  <si>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</si>
  <si>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</si>
  <si>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</si>
  <si>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</si>
  <si>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</si>
  <si>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</si>
  <si>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</si>
  <si>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</si>
  <si>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</si>
  <si>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</si>
  <si>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</si>
  <si>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</si>
  <si>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</si>
  <si>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</si>
  <si>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</si>
  <si>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</si>
  <si>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</si>
  <si>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</si>
  <si>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</si>
  <si>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</si>
  <si>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</si>
  <si>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</si>
  <si>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</si>
  <si>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</si>
  <si>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</si>
  <si>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</si>
  <si>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</si>
  <si>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</si>
  <si>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</si>
  <si>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</si>
  <si>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</si>
  <si>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</si>
  <si>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</si>
  <si>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</si>
  <si>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</si>
  <si>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</si>
  <si>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</si>
  <si>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</si>
  <si>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</si>
  <si>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</si>
  <si>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</si>
  <si>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</si>
  <si>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</si>
  <si>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</si>
  <si>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</si>
  <si>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</si>
  <si>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</si>
  <si>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</si>
  <si>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</si>
  <si>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</si>
  <si>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</si>
  <si>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</si>
  <si>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</si>
  <si>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</si>
  <si>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</si>
  <si>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</si>
  <si>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</si>
  <si>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</si>
  <si>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</si>
  <si>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</si>
  <si>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</si>
  <si>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</si>
  <si>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</si>
  <si>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</si>
  <si>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</si>
  <si>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</si>
  <si>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</si>
  <si>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</si>
  <si>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</si>
  <si>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</si>
  <si>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</si>
  <si>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</si>
  <si>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</si>
  <si>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</si>
  <si>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</si>
  <si>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</si>
  <si>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</si>
  <si>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</si>
  <si>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</si>
  <si>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</si>
  <si>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</si>
  <si>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</si>
  <si>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</si>
  <si>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</si>
  <si>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</si>
  <si>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</si>
  <si>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</si>
  <si>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</si>
  <si>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</si>
  <si>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</si>
  <si>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</si>
  <si>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</si>
  <si>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</si>
  <si>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</si>
  <si>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</si>
  <si>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</si>
  <si>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</si>
  <si>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</si>
  <si>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</si>
  <si>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</si>
  <si>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</si>
  <si>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</si>
  <si>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</si>
  <si>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</si>
  <si>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</si>
  <si>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</si>
  <si>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</si>
  <si>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</si>
  <si>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</si>
  <si>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</si>
  <si>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</si>
  <si>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</si>
  <si>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</si>
  <si>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</si>
  <si>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</si>
  <si>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</si>
  <si>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</si>
  <si>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</si>
  <si>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</si>
  <si>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</si>
  <si>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</si>
  <si>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</si>
  <si>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</si>
  <si>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</si>
  <si>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</si>
  <si>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</si>
  <si>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</si>
  <si>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</si>
  <si>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</si>
  <si>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</si>
  <si>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</si>
  <si>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</si>
  <si>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</si>
  <si>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</si>
  <si>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</si>
  <si>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</si>
  <si>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</si>
  <si>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</si>
  <si>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</si>
  <si>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</si>
  <si>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</si>
  <si>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</si>
  <si>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</si>
  <si>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</si>
  <si>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</si>
  <si>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</si>
  <si>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</si>
  <si>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</si>
  <si>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</si>
  <si>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</si>
  <si>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</si>
  <si>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</si>
  <si>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</si>
  <si>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</si>
  <si>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</si>
  <si>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</si>
  <si>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</si>
  <si>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</si>
  <si>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</si>
  <si>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</si>
  <si>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</si>
  <si>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</si>
  <si>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</si>
  <si>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</si>
  <si>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</si>
  <si>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</si>
  <si>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</si>
  <si>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</si>
  <si>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</si>
  <si>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</si>
  <si>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</si>
  <si>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</si>
  <si>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</si>
  <si>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</si>
  <si>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</si>
  <si>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</si>
  <si>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</si>
  <si>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</si>
  <si>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</si>
  <si>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</si>
  <si>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</si>
  <si>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</si>
  <si>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</si>
  <si>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</si>
  <si>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</si>
  <si>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</si>
  <si>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</si>
  <si>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</si>
  <si>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</si>
  <si>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</si>
  <si>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</si>
  <si>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</si>
  <si>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</si>
  <si>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</si>
  <si>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</si>
  <si>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</si>
  <si>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</si>
  <si>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</si>
  <si>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</si>
  <si>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</si>
  <si>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</si>
  <si>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</si>
  <si>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</si>
  <si>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</si>
  <si>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</si>
  <si>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</si>
  <si>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</si>
  <si>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</si>
  <si>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</si>
  <si>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</si>
  <si>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</si>
  <si>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</si>
  <si>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</si>
  <si>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</si>
  <si>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</si>
  <si>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</si>
  <si>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</si>
  <si>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</si>
  <si>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</si>
  <si>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</si>
  <si>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</si>
  <si>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</si>
  <si>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</si>
  <si>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</si>
  <si>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</si>
  <si>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</si>
  <si>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</si>
  <si>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</si>
  <si>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</si>
  <si>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</si>
  <si>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</si>
  <si>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</si>
  <si>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</si>
  <si>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</si>
  <si>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</si>
  <si>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</si>
  <si>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</si>
  <si>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</si>
  <si>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</si>
  <si>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</si>
  <si>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</si>
  <si>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</si>
  <si>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</si>
  <si>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</si>
  <si>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</si>
  <si>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</si>
  <si>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</si>
  <si>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</si>
  <si>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</si>
  <si>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</si>
  <si>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</si>
  <si>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</si>
  <si>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</si>
  <si>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</si>
  <si>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</si>
  <si>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</si>
  <si>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</si>
  <si>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</si>
  <si>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</si>
  <si>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</si>
  <si>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</si>
  <si>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</si>
  <si>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</si>
  <si>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</si>
  <si>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</si>
  <si>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</si>
  <si>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</si>
  <si>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</si>
  <si>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</si>
  <si>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</si>
  <si>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</si>
  <si>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</si>
  <si>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</si>
  <si>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</si>
  <si>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</si>
  <si>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</si>
  <si>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</si>
  <si>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</si>
  <si>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</si>
  <si>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</si>
  <si>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</si>
  <si>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</si>
  <si>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</si>
  <si>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</si>
  <si>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</si>
  <si>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</si>
  <si>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</si>
  <si>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</si>
  <si>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</si>
  <si>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</si>
  <si>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</si>
  <si>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</si>
  <si>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</si>
  <si>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</si>
  <si>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</si>
  <si>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</si>
  <si>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</si>
  <si>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</si>
  <si>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</si>
  <si>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</si>
  <si>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</si>
  <si>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</si>
  <si>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</si>
  <si>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</si>
  <si>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</si>
  <si>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</si>
  <si>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</si>
  <si>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</si>
  <si>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</si>
  <si>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</si>
  <si>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</si>
  <si>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</si>
  <si>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</si>
  <si>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</si>
  <si>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</si>
  <si>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</si>
  <si>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</si>
  <si>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</si>
  <si>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</si>
  <si>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</si>
  <si>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</si>
  <si>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</si>
  <si>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</si>
  <si>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</si>
  <si>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</si>
  <si>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</si>
  <si>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</si>
  <si>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</si>
  <si>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</si>
  <si>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</si>
  <si>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</si>
  <si>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</si>
  <si>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</si>
  <si>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</si>
  <si>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</si>
  <si>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</si>
  <si>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</si>
  <si>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</si>
  <si>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</si>
  <si>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</si>
  <si>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</si>
  <si>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</si>
  <si>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</si>
  <si>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</si>
  <si>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</si>
  <si>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</si>
  <si>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</si>
  <si>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</si>
  <si>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</si>
  <si>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</si>
  <si>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</si>
  <si>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</si>
  <si>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</si>
  <si>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</si>
  <si>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</si>
  <si>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</si>
  <si>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</si>
  <si>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</si>
  <si>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</si>
  <si>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</si>
  <si>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</si>
  <si>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</si>
  <si>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</si>
  <si>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</si>
  <si>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</si>
  <si>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</si>
  <si>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</si>
  <si>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</si>
  <si>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</si>
  <si>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</si>
  <si>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</si>
  <si>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</si>
  <si>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</si>
  <si>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</si>
  <si>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</si>
  <si>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</si>
  <si>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</si>
  <si>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</si>
  <si>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</si>
  <si>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</si>
  <si>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</si>
  <si>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</si>
  <si>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</si>
  <si>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</si>
  <si>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</si>
  <si>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</si>
  <si>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</si>
  <si>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</si>
  <si>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</si>
  <si>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</si>
  <si>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</si>
  <si>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</si>
  <si>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</si>
  <si>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</si>
  <si>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</si>
  <si>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</si>
  <si>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</si>
  <si>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</si>
  <si>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</si>
  <si>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</si>
  <si>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</si>
  <si>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</si>
  <si>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</si>
  <si>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</si>
  <si>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</si>
  <si>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</si>
  <si>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</si>
  <si>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</si>
  <si>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</si>
  <si>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</si>
  <si>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</si>
  <si>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</si>
  <si>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</si>
  <si>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</si>
  <si>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</si>
  <si>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</si>
  <si>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</si>
  <si>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</si>
  <si>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</si>
  <si>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</si>
  <si>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</si>
  <si>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</si>
  <si>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</si>
  <si>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</si>
  <si>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</si>
  <si>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</si>
  <si>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</si>
  <si>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</si>
  <si>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</si>
  <si>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</si>
  <si>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</si>
  <si>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</si>
  <si>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</si>
  <si>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</si>
  <si>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</si>
  <si>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</si>
  <si>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</si>
  <si>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</si>
  <si>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</si>
  <si>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</si>
  <si>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</si>
  <si>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</si>
  <si>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</si>
  <si>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</si>
  <si>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</si>
  <si>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</si>
  <si>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</si>
  <si>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</si>
  <si>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</si>
  <si>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</si>
  <si>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</si>
  <si>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</si>
  <si>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</si>
  <si>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</si>
  <si>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</si>
  <si>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</si>
  <si>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</si>
  <si>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</si>
  <si>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</si>
  <si>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</si>
  <si>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</si>
  <si>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</si>
  <si>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</si>
  <si>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</si>
  <si>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</si>
  <si>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</si>
  <si>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</si>
  <si>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</si>
  <si>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</si>
  <si>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</si>
  <si>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</si>
  <si>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</si>
  <si>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</si>
  <si>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</si>
  <si>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</si>
  <si>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</si>
  <si>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</si>
  <si>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</si>
  <si>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</si>
  <si>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</si>
  <si>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</si>
  <si>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</si>
  <si>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</si>
  <si>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</si>
  <si>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</si>
  <si>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</si>
  <si>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</si>
  <si>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</si>
  <si>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</si>
  <si>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</si>
  <si>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</si>
  <si>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</si>
  <si>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</si>
  <si>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</si>
  <si>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</si>
  <si>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</si>
  <si>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</si>
  <si>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</si>
  <si>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</si>
  <si>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</si>
  <si>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</si>
  <si>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</si>
  <si>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</si>
  <si>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</si>
  <si>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</si>
  <si>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</si>
  <si>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</si>
  <si>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</si>
  <si>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</si>
  <si>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</si>
  <si>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</si>
  <si>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</si>
  <si>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</si>
  <si>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</si>
  <si>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</si>
  <si>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</si>
  <si>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</si>
  <si>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</si>
  <si>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</si>
  <si>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</si>
  <si>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</si>
  <si>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</si>
  <si>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</si>
  <si>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</si>
  <si>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</si>
  <si>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</si>
  <si>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</si>
  <si>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</si>
  <si>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</si>
  <si>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</si>
  <si>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</si>
  <si>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</si>
  <si>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</si>
  <si>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</si>
  <si>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</si>
  <si>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</si>
  <si>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</si>
  <si>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</si>
  <si>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</si>
  <si>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</si>
  <si>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</si>
  <si>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</si>
  <si>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</si>
  <si>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</si>
  <si>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</si>
  <si>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</si>
  <si>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</si>
  <si>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</si>
  <si>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</si>
  <si>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</si>
  <si>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</si>
  <si>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</si>
  <si>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</si>
  <si>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</si>
  <si>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</si>
  <si>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</si>
  <si>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</si>
  <si>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</si>
  <si>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</si>
  <si>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</si>
  <si>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</si>
  <si>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</si>
  <si>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</si>
  <si>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</si>
  <si>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</si>
  <si>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</si>
  <si>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</si>
  <si>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</si>
  <si>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</si>
  <si>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</si>
  <si>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</si>
  <si>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</si>
  <si>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</si>
  <si>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</si>
  <si>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</si>
  <si>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</si>
  <si>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</si>
  <si>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</si>
  <si>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</si>
  <si>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</si>
  <si>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</si>
  <si>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</si>
  <si>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</si>
  <si>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</si>
  <si>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</si>
  <si>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</si>
  <si>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</si>
  <si>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</si>
  <si>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</si>
  <si>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</si>
  <si>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</si>
  <si>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</si>
  <si>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</si>
  <si>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</si>
  <si>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</si>
  <si>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</si>
  <si>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</si>
  <si>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</si>
  <si>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</si>
  <si>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</si>
  <si>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</si>
  <si>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</si>
  <si>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</si>
  <si>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</si>
  <si>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</si>
  <si>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</si>
  <si>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</si>
  <si>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</si>
  <si>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</si>
  <si>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</si>
  <si>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</si>
  <si>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</si>
  <si>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</si>
  <si>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</si>
  <si>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</si>
  <si>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</si>
  <si>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</si>
  <si>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</si>
  <si>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</si>
  <si>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</si>
  <si>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</si>
  <si>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</si>
  <si>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</si>
  <si>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</si>
  <si>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</si>
  <si>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</si>
  <si>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</si>
  <si>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</si>
  <si>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</si>
  <si>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</si>
  <si>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</si>
  <si>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</si>
  <si>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</si>
  <si>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</si>
  <si>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</si>
  <si>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</si>
  <si>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</si>
  <si>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</si>
  <si>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</si>
  <si>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</si>
  <si>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</si>
  <si>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</si>
  <si>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</si>
  <si>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</si>
  <si>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</si>
  <si>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</si>
  <si>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</si>
  <si>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</si>
  <si>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</si>
  <si>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</si>
  <si>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</si>
  <si>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</si>
  <si>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</si>
  <si>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</si>
  <si>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</si>
  <si>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</si>
  <si>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</si>
  <si>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</si>
  <si>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</si>
  <si>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</si>
  <si>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</si>
  <si>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</si>
  <si>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</si>
  <si>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</si>
  <si>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</si>
  <si>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</si>
  <si>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</si>
  <si>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</si>
  <si>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</si>
  <si>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</si>
  <si>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</si>
  <si>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</si>
  <si>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</si>
  <si>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</si>
  <si>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</si>
  <si>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</si>
  <si>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</si>
  <si>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</si>
  <si>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</si>
  <si>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</si>
  <si>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</si>
  <si>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</si>
  <si>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</si>
  <si>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</si>
  <si>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</si>
  <si>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</si>
  <si>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</si>
  <si>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</si>
  <si>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</si>
  <si>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</si>
  <si>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</si>
  <si>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</si>
  <si>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</si>
  <si>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</si>
  <si>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</si>
  <si>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</si>
  <si>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</si>
  <si>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</si>
  <si>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</si>
  <si>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</si>
  <si>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</si>
  <si>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</si>
  <si>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</si>
  <si>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</si>
  <si>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</si>
  <si>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</si>
  <si>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</si>
  <si>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</si>
  <si>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</si>
  <si>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</si>
  <si>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</si>
  <si>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</si>
  <si>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</si>
  <si>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</si>
  <si>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</si>
  <si>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</si>
  <si>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</si>
  <si>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</si>
  <si>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</si>
  <si>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</si>
  <si>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</si>
  <si>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</si>
  <si>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</si>
  <si>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</si>
  <si>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</si>
  <si>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</si>
  <si>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</si>
  <si>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</si>
  <si>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</si>
  <si>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</si>
  <si>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</si>
  <si>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</si>
  <si>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</si>
  <si>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</si>
  <si>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</si>
  <si>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</si>
  <si>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</si>
  <si>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</si>
  <si>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</si>
  <si>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</si>
  <si>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</si>
  <si>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</si>
  <si>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</si>
  <si>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</si>
  <si>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</si>
  <si>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</si>
  <si>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</si>
  <si>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</si>
  <si>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</si>
  <si>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</si>
  <si>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</si>
  <si>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</si>
  <si>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</si>
  <si>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</si>
  <si>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</si>
  <si>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</si>
  <si>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</si>
  <si>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</si>
  <si>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</si>
  <si>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</si>
  <si>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</si>
  <si>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</si>
  <si>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</si>
  <si>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</si>
  <si>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</si>
  <si>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</si>
  <si>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</si>
  <si>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</si>
  <si>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</si>
  <si>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</si>
  <si>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</si>
  <si>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</si>
  <si>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</si>
  <si>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</si>
  <si>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</si>
  <si>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</si>
  <si>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</si>
  <si>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</si>
  <si>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</si>
  <si>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</si>
  <si>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</si>
  <si>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</si>
  <si>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</si>
  <si>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</si>
  <si>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</si>
  <si>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</si>
  <si>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</si>
  <si>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</si>
  <si>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</si>
  <si>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</si>
  <si>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</si>
  <si>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</si>
  <si>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</si>
  <si>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</si>
  <si>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</si>
  <si>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</si>
  <si>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</si>
  <si>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</si>
  <si>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</si>
  <si>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</si>
  <si>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</si>
  <si>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</si>
  <si>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</si>
  <si>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</si>
  <si>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</si>
  <si>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</si>
  <si>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</si>
  <si>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</si>
  <si>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</si>
  <si>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</si>
  <si>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</si>
  <si>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</si>
  <si>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</si>
  <si>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</si>
  <si>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</si>
  <si>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</si>
  <si>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</si>
  <si>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</si>
  <si>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</si>
  <si>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</si>
  <si>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</si>
  <si>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</si>
  <si>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</si>
  <si>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</si>
  <si>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</si>
  <si>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</si>
  <si>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</si>
  <si>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</si>
  <si>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</si>
  <si>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</si>
  <si>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</si>
  <si>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</si>
  <si>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</si>
  <si>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</si>
  <si>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</si>
  <si>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</si>
  <si>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</si>
  <si>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</si>
  <si>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</si>
  <si>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</si>
  <si>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</si>
  <si>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</si>
  <si>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</si>
  <si>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</si>
  <si>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</si>
  <si>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</si>
  <si>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</si>
  <si>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</si>
  <si>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</si>
  <si>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</si>
  <si>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</si>
  <si>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</si>
  <si>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</si>
  <si>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</si>
  <si>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</si>
  <si>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</si>
  <si>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</si>
  <si>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</si>
  <si>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</si>
  <si>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</si>
  <si>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</si>
  <si>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</si>
  <si>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</si>
  <si>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</si>
  <si>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</si>
  <si>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</si>
  <si>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</si>
  <si>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</si>
  <si>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</si>
  <si>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</si>
  <si>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</si>
  <si>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</si>
  <si>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</si>
  <si>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</si>
  <si>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</si>
  <si>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</si>
  <si>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</si>
  <si>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</si>
  <si>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</si>
  <si>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</si>
  <si>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</si>
  <si>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</si>
  <si>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</si>
  <si>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</si>
  <si>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</si>
  <si>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</si>
  <si>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</si>
  <si>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</si>
  <si>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</si>
  <si>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</si>
  <si>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</si>
  <si>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</si>
  <si>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</si>
  <si>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</si>
  <si>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</si>
  <si>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</si>
  <si>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</si>
  <si>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</si>
  <si>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</si>
  <si>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</si>
  <si>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</si>
  <si>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</si>
  <si>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</si>
  <si>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</si>
  <si>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</si>
  <si>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</si>
  <si>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</si>
  <si>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</si>
  <si>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</si>
  <si>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</si>
  <si>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</si>
  <si>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</si>
  <si>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</si>
  <si>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</si>
  <si>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</si>
  <si>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</si>
  <si>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</si>
  <si>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</si>
  <si>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</si>
  <si>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</si>
  <si>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</si>
  <si>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</si>
  <si>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</si>
  <si>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</si>
  <si>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</si>
  <si>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</si>
  <si>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</si>
  <si>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</si>
  <si>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</si>
  <si>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</si>
  <si>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</si>
  <si>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</si>
  <si>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</si>
  <si>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</si>
  <si>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</si>
  <si>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</si>
  <si>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</si>
  <si>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</si>
  <si>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</si>
  <si>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</si>
  <si>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</si>
  <si>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</si>
  <si>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</si>
  <si>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</si>
  <si>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</si>
  <si>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</si>
  <si>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</si>
  <si>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</si>
  <si>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</si>
  <si>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</si>
  <si>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</si>
  <si>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</si>
  <si>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</si>
  <si>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</si>
  <si>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</si>
  <si>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</si>
  <si>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</si>
  <si>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</si>
  <si>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</si>
  <si>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</si>
  <si>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</si>
  <si>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</si>
  <si>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</si>
  <si>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</si>
  <si>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</si>
  <si>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</si>
  <si>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</si>
  <si>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</si>
  <si>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</si>
  <si>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</si>
  <si>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</si>
  <si>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</si>
  <si>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</si>
  <si>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</si>
  <si>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</si>
  <si>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</si>
  <si>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</si>
  <si>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</si>
  <si>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</si>
  <si>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</si>
  <si>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</si>
  <si>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</si>
  <si>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</si>
  <si>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</si>
  <si>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</si>
  <si>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</si>
  <si>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</si>
  <si>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</si>
  <si>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</si>
  <si>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</si>
  <si>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</si>
  <si>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</si>
  <si>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</si>
  <si>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</si>
  <si>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</si>
  <si>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</si>
  <si>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</si>
  <si>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</si>
  <si>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</si>
  <si>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</si>
  <si>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</si>
  <si>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</si>
  <si>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</si>
  <si>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</si>
  <si>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</si>
  <si>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</si>
  <si>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</si>
  <si>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</si>
  <si>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</si>
  <si>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</si>
  <si>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</si>
  <si>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</si>
  <si>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</si>
  <si>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</si>
  <si>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</si>
  <si>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</si>
  <si>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</si>
  <si>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</si>
  <si>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</si>
  <si>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</si>
  <si>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</si>
  <si>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</si>
  <si>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</si>
  <si>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</si>
  <si>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</si>
  <si>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</si>
  <si>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</si>
  <si>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</si>
  <si>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</si>
  <si>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</si>
  <si>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</si>
  <si>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</si>
  <si>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</si>
  <si>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</si>
  <si>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</si>
  <si>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</si>
  <si>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</si>
  <si>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</si>
  <si>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</si>
  <si>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</si>
  <si>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</si>
  <si>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</si>
  <si>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</si>
  <si>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</si>
  <si>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</si>
  <si>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</si>
  <si>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</si>
  <si>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</si>
  <si>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</si>
  <si>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</si>
  <si>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</si>
  <si>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</si>
  <si>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</si>
  <si>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</si>
  <si>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</si>
  <si>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</si>
  <si>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</si>
  <si>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</si>
  <si>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</si>
  <si>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</si>
  <si>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</si>
  <si>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</si>
  <si>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</si>
  <si>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</si>
  <si>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</si>
  <si>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</si>
  <si>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</si>
  <si>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</si>
  <si>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</si>
  <si>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</si>
  <si>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</si>
  <si>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</si>
  <si>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</si>
  <si>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</si>
  <si>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</si>
  <si>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</si>
  <si>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</si>
  <si>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</si>
  <si>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</si>
  <si>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</si>
  <si>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</si>
  <si>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</si>
  <si>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</si>
  <si>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</si>
  <si>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</si>
  <si>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</si>
  <si>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</si>
  <si>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</si>
  <si>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</si>
  <si>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</si>
  <si>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</si>
  <si>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</si>
  <si>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</si>
  <si>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</si>
  <si>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</si>
  <si>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</si>
  <si>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</si>
  <si>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</si>
  <si>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</si>
  <si>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</si>
  <si>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</si>
  <si>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</si>
  <si>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</si>
  <si>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</si>
  <si>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</si>
  <si>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</si>
  <si>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</si>
  <si>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</si>
  <si>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</si>
  <si>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</si>
  <si>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</si>
  <si>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</si>
  <si>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</si>
  <si>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</si>
  <si>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</si>
  <si>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</si>
  <si>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</si>
  <si>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</si>
  <si>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</si>
  <si>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</si>
  <si>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</si>
  <si>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</si>
  <si>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</si>
  <si>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</si>
  <si>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</si>
  <si>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</si>
  <si>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</si>
  <si>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</si>
  <si>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</si>
  <si>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</si>
  <si>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</si>
  <si>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</si>
  <si>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</si>
  <si>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</si>
  <si>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</si>
  <si>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</si>
  <si>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</si>
  <si>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</si>
  <si>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</si>
  <si>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</si>
  <si>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</si>
  <si>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</si>
  <si>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</si>
  <si>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</si>
  <si>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</si>
  <si>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</si>
  <si>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</si>
  <si>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</si>
  <si>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</si>
  <si>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</si>
  <si>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</si>
  <si>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</si>
  <si>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</si>
  <si>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</si>
  <si>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</si>
  <si>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</si>
  <si>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</si>
  <si>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</si>
  <si>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</si>
  <si>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</si>
  <si>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</si>
  <si>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</si>
  <si>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</si>
  <si>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</si>
  <si>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</si>
  <si>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</si>
  <si>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</si>
  <si>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</si>
  <si>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</si>
  <si>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</si>
  <si>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</si>
  <si>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</si>
  <si>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</si>
  <si>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</si>
  <si>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</si>
  <si>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</si>
  <si>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</si>
  <si>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</si>
  <si>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</si>
  <si>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</si>
  <si>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</si>
  <si>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</si>
  <si>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</si>
  <si>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</si>
  <si>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</si>
  <si>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</si>
  <si>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</si>
  <si>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</si>
  <si>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</si>
  <si>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</si>
  <si>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</si>
  <si>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</si>
  <si>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</si>
  <si>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</si>
  <si>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</si>
  <si>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</si>
  <si>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</si>
  <si>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</si>
  <si>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</si>
  <si>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</si>
  <si>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</si>
  <si>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</si>
  <si>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</si>
  <si>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</si>
  <si>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</si>
  <si>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</si>
  <si>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</si>
  <si>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</si>
  <si>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</si>
  <si>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</si>
  <si>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</si>
  <si>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</si>
  <si>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</si>
  <si>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</si>
  <si>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</si>
  <si>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</si>
  <si>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</si>
  <si>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</si>
  <si>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</si>
  <si>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</si>
  <si>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</si>
  <si>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</si>
  <si>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</si>
  <si>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</si>
  <si>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</si>
  <si>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</si>
  <si>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</si>
  <si>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</si>
  <si>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</si>
  <si>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</si>
  <si>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</si>
  <si>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</si>
  <si>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</si>
  <si>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</si>
  <si>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</si>
  <si>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</si>
  <si>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</si>
  <si>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</si>
  <si>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</si>
  <si>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</si>
  <si>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</si>
  <si>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</si>
  <si>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</si>
  <si>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</si>
  <si>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</si>
  <si>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</si>
  <si>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</si>
  <si>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</si>
  <si>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</si>
  <si>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</si>
  <si>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</si>
  <si>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</si>
  <si>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</si>
  <si>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</si>
  <si>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</si>
  <si>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</si>
  <si>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</si>
  <si>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</si>
  <si>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</si>
  <si>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</si>
  <si>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</si>
  <si>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</si>
  <si>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</si>
  <si>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</si>
  <si>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</si>
  <si>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</si>
  <si>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</si>
  <si>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</si>
  <si>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</si>
  <si>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</si>
  <si>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</si>
  <si>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</si>
  <si>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</si>
  <si>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</si>
  <si>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</si>
  <si>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</si>
  <si>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</si>
  <si>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</si>
  <si>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</si>
  <si>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</si>
  <si>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</si>
  <si>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</si>
  <si>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</si>
  <si>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</si>
  <si>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</si>
  <si>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</si>
  <si>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</si>
  <si>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</si>
  <si>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</si>
  <si>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</si>
  <si>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</si>
  <si>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</si>
  <si>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</si>
  <si>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</si>
  <si>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</si>
  <si>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</si>
  <si>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</si>
  <si>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</si>
  <si>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</si>
  <si>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</si>
  <si>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</si>
  <si>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</si>
  <si>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</si>
  <si>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</si>
  <si>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</si>
  <si>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</si>
  <si>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</si>
  <si>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</si>
  <si>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</si>
  <si>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</si>
  <si>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</si>
  <si>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</si>
  <si>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</si>
  <si>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</si>
  <si>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</si>
  <si>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</si>
  <si>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</si>
  <si>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</si>
  <si>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</si>
  <si>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</si>
  <si>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</si>
  <si>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</si>
  <si>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</si>
  <si>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</si>
  <si>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</si>
  <si>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</si>
  <si>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</si>
  <si>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</si>
  <si>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</si>
  <si>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</si>
  <si>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</si>
  <si>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</si>
  <si>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</si>
  <si>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</si>
  <si>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</si>
  <si>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</si>
  <si>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</si>
  <si>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</si>
  <si>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</si>
  <si>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</si>
  <si>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</si>
  <si>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</si>
  <si>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</si>
  <si>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</si>
  <si>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</si>
  <si>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</si>
  <si>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</si>
  <si>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</si>
  <si>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</si>
  <si>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</si>
  <si>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</si>
  <si>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</si>
  <si>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</si>
  <si>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</si>
  <si>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</si>
  <si>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</si>
  <si>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</si>
  <si>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</si>
  <si>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</si>
  <si>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</si>
  <si>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</si>
  <si>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</si>
  <si>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</si>
  <si>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</si>
  <si>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</si>
  <si>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</si>
  <si>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</si>
  <si>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</si>
  <si>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</si>
  <si>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</si>
  <si>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</si>
  <si>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</si>
  <si>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</si>
  <si>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</si>
  <si>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</si>
  <si>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</si>
  <si>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</si>
  <si>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</si>
  <si>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</si>
  <si>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</si>
  <si>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</si>
  <si>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</si>
  <si>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</si>
  <si>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</si>
  <si>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</si>
  <si>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</si>
  <si>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</si>
  <si>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</si>
  <si>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</si>
  <si>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</si>
  <si>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</si>
  <si>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</si>
  <si>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</si>
  <si>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</si>
  <si>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</si>
  <si>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</si>
  <si>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</si>
  <si>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</si>
  <si>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</si>
  <si>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</si>
  <si>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</si>
  <si>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</si>
  <si>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</si>
  <si>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</si>
  <si>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</si>
  <si>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</si>
  <si>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</si>
  <si>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</si>
  <si>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</si>
  <si>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</si>
  <si>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</si>
  <si>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</si>
  <si>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</si>
  <si>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</si>
  <si>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</si>
  <si>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</si>
  <si>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</si>
  <si>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</si>
  <si>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</si>
  <si>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</si>
  <si>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</si>
  <si>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</si>
  <si>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</si>
  <si>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</si>
  <si>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</si>
  <si>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</si>
  <si>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</si>
  <si>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</si>
  <si>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</si>
  <si>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</si>
  <si>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</si>
  <si>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</si>
  <si>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</si>
  <si>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</si>
  <si>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</si>
  <si>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</si>
  <si>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</si>
  <si>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</si>
  <si>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</si>
  <si>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</si>
  <si>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</si>
  <si>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</si>
  <si>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</si>
  <si>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</si>
  <si>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</si>
  <si>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</si>
  <si>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</si>
  <si>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</si>
  <si>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</si>
  <si>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</si>
  <si>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</si>
  <si>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</si>
  <si>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</si>
  <si>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</si>
  <si>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</si>
  <si>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</si>
  <si>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</si>
  <si>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</si>
  <si>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</si>
  <si>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</si>
  <si>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</si>
  <si>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</si>
  <si>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</si>
  <si>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</si>
  <si>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</si>
  <si>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</si>
  <si>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</si>
  <si>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</si>
  <si>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</si>
  <si>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</si>
  <si>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</si>
  <si>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</si>
  <si>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</si>
  <si>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</si>
  <si>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</si>
  <si>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</si>
  <si>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</si>
  <si>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</si>
  <si>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</si>
  <si>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</si>
  <si>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</si>
  <si>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</si>
  <si>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</si>
  <si>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</si>
  <si>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</si>
  <si>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</si>
  <si>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</si>
  <si>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</si>
  <si>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</si>
  <si>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</si>
  <si>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</si>
  <si>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</si>
  <si>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</si>
  <si>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</si>
  <si>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</si>
  <si>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</si>
  <si>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</si>
  <si>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</si>
  <si>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</si>
  <si>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</si>
  <si>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</si>
  <si>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</si>
  <si>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</si>
  <si>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</si>
  <si>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</si>
  <si>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</si>
  <si>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</si>
  <si>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</si>
  <si>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</si>
  <si>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</si>
  <si>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</si>
  <si>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</si>
  <si>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</si>
  <si>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</si>
  <si>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</si>
  <si>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</si>
  <si>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</si>
  <si>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</si>
  <si>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</si>
  <si>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</si>
  <si>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</si>
  <si>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</si>
  <si>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</si>
  <si>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</si>
  <si>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</si>
  <si>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</si>
  <si>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</si>
  <si>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</si>
  <si>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</si>
  <si>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</si>
  <si>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</si>
  <si>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</si>
  <si>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</si>
  <si>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</si>
  <si>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</si>
  <si>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</si>
  <si>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</si>
  <si>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</si>
  <si>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</si>
  <si>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</si>
  <si>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</si>
  <si>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</si>
  <si>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</si>
  <si>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</si>
  <si>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</si>
  <si>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</si>
  <si>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</si>
  <si>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</si>
  <si>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</si>
  <si>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</si>
  <si>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</si>
  <si>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</si>
  <si>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</si>
  <si>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</si>
  <si>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</si>
  <si>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</si>
  <si>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</si>
  <si>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</si>
  <si>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</si>
  <si>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</si>
  <si>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</si>
  <si>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</si>
  <si>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</si>
  <si>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</si>
  <si>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</si>
  <si>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</si>
  <si>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</si>
  <si>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</si>
  <si>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</si>
  <si>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</si>
  <si>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</si>
  <si>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</si>
  <si>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</si>
  <si>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</si>
  <si>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</si>
  <si>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</si>
  <si>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</si>
  <si>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</si>
  <si>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</si>
  <si>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</si>
  <si>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</si>
  <si>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</si>
  <si>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</si>
  <si>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</si>
  <si>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</si>
  <si>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</si>
  <si>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</si>
  <si>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</si>
  <si>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</si>
  <si>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</si>
  <si>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</si>
  <si>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</si>
  <si>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</si>
  <si>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</si>
  <si>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</si>
  <si>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</si>
  <si>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</si>
  <si>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</si>
  <si>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</si>
  <si>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</si>
  <si>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</si>
  <si>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</si>
  <si>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</si>
  <si>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</si>
  <si>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</si>
  <si>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</si>
  <si>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</si>
  <si>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</si>
  <si>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</si>
  <si>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</si>
  <si>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</si>
  <si>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</si>
  <si>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</si>
  <si>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</si>
  <si>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</si>
  <si>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</si>
  <si>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</si>
  <si>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</si>
  <si>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</si>
  <si>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</si>
  <si>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</si>
  <si>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</si>
  <si>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</si>
  <si>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</si>
  <si>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</si>
  <si>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</si>
  <si>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</si>
  <si>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</si>
  <si>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</si>
  <si>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</si>
  <si>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</si>
  <si>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</si>
  <si>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</si>
  <si>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</si>
  <si>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</si>
  <si>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</si>
  <si>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</si>
  <si>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</si>
  <si>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</si>
  <si>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</si>
  <si>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</si>
  <si>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</si>
  <si>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</si>
  <si>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</si>
  <si>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</si>
  <si>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</si>
  <si>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</si>
  <si>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</si>
  <si>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</si>
  <si>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</si>
  <si>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</si>
  <si>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</si>
  <si>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</si>
  <si>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</si>
  <si>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</si>
  <si>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</si>
  <si>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</si>
  <si>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</si>
  <si>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</si>
  <si>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</si>
  <si>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</si>
  <si>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</si>
  <si>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</si>
  <si>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</si>
  <si>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</si>
  <si>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</si>
  <si>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</si>
  <si>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</si>
  <si>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</si>
  <si>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</si>
  <si>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</si>
  <si>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</si>
  <si>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</si>
  <si>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</si>
  <si>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</si>
  <si>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</si>
  <si>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</si>
  <si>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</si>
  <si>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</si>
  <si>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</si>
  <si>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</si>
  <si>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</si>
  <si>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</si>
  <si>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</si>
  <si>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</si>
  <si>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</si>
  <si>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</si>
  <si>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</si>
  <si>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</si>
  <si>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</si>
  <si>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</si>
  <si>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</si>
  <si>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</si>
  <si>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</si>
  <si>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</si>
  <si>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</si>
  <si>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</si>
  <si>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</si>
  <si>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</si>
  <si>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</si>
  <si>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</si>
  <si>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</si>
  <si>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</si>
  <si>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</si>
  <si>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</si>
  <si>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</si>
  <si>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</si>
  <si>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</si>
  <si>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</si>
  <si>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</si>
  <si>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</si>
  <si>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</si>
  <si>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</si>
  <si>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</si>
  <si>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</si>
  <si>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</si>
  <si>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</si>
  <si>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</si>
  <si>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</si>
  <si>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</si>
  <si>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</si>
  <si>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</si>
  <si>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</si>
  <si>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</si>
  <si>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</si>
  <si>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</si>
  <si>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</si>
  <si>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</si>
  <si>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</si>
  <si>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</si>
  <si>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</si>
  <si>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</si>
  <si>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</si>
  <si>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</si>
  <si>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</si>
  <si>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</si>
  <si>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</si>
  <si>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</si>
  <si>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</si>
  <si>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</si>
  <si>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</si>
  <si>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</si>
  <si>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</si>
  <si>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</si>
  <si>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</si>
  <si>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</si>
  <si>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</si>
  <si>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</si>
  <si>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</si>
  <si>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</si>
  <si>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</si>
  <si>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</si>
  <si>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</si>
  <si>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</si>
  <si>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</si>
  <si>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</si>
  <si>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</si>
  <si>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</si>
  <si>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</si>
  <si>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</si>
  <si>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</si>
  <si>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</si>
  <si>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</si>
  <si>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</si>
  <si>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</si>
  <si>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</si>
  <si>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</si>
  <si>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</si>
  <si>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</si>
  <si>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</si>
  <si>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</si>
  <si>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</si>
  <si>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</si>
  <si>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</si>
  <si>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</si>
  <si>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</si>
  <si>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</si>
  <si>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</si>
  <si>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</si>
  <si>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</si>
  <si>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</si>
  <si>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</si>
  <si>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</si>
  <si>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</si>
  <si>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</si>
  <si>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</si>
  <si>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</si>
  <si>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</si>
  <si>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</si>
  <si>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</si>
  <si>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</si>
  <si>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</si>
  <si>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</si>
  <si>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</si>
  <si>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</si>
  <si>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</si>
  <si>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</si>
  <si>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</si>
  <si>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</si>
  <si>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</si>
  <si>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</si>
  <si>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</si>
  <si>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</si>
  <si>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</si>
  <si>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</si>
  <si>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</si>
  <si>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</si>
  <si>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</si>
  <si>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</si>
  <si>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</si>
  <si>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</si>
  <si>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</si>
  <si>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</si>
  <si>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</si>
  <si>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</si>
  <si>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</si>
  <si>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</si>
  <si>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</si>
  <si>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</si>
  <si>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</si>
  <si>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</si>
  <si>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</si>
  <si>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</si>
  <si>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</si>
  <si>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</si>
  <si>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</si>
  <si>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</si>
  <si>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</si>
  <si>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</si>
  <si>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</si>
  <si>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</si>
  <si>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</si>
  <si>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</si>
  <si>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</si>
  <si>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</si>
  <si>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</si>
  <si>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</si>
  <si>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</si>
  <si>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</si>
  <si>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</si>
  <si>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</si>
  <si>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</si>
  <si>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</si>
  <si>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</si>
  <si>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</si>
  <si>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</si>
  <si>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</si>
  <si>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</si>
  <si>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</si>
  <si>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</si>
  <si>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</si>
  <si>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</si>
  <si>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</si>
  <si>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</si>
  <si>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</si>
  <si>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</si>
  <si>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</si>
  <si>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</si>
  <si>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</si>
  <si>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</si>
  <si>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</si>
  <si>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</si>
  <si>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</si>
  <si>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</si>
  <si>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</si>
  <si>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</si>
  <si>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</si>
  <si>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</si>
  <si>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</si>
  <si>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</si>
  <si>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</si>
  <si>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</si>
  <si>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</si>
  <si>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</si>
  <si>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</si>
  <si>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</si>
  <si>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</si>
  <si>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</si>
  <si>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</si>
  <si>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</si>
  <si>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</si>
  <si>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</si>
  <si>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</si>
  <si>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</si>
  <si>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</si>
  <si>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</si>
  <si>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</si>
  <si>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</si>
  <si>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</si>
  <si>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</si>
  <si>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</si>
  <si>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</si>
  <si>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</si>
  <si>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</si>
  <si>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</si>
  <si>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</si>
  <si>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</si>
  <si>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</si>
  <si>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</si>
  <si>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</si>
  <si>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</si>
  <si>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</si>
  <si>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</si>
  <si>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</si>
  <si>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</si>
  <si>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</si>
  <si>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</si>
  <si>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</si>
  <si>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</si>
  <si>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</si>
  <si>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</si>
  <si>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</si>
  <si>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</si>
  <si>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</si>
  <si>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</si>
  <si>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</si>
  <si>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</si>
  <si>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</si>
  <si>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</si>
  <si>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</si>
  <si>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</si>
  <si>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</si>
  <si>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</si>
  <si>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</si>
  <si>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</si>
  <si>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</si>
  <si>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</si>
  <si>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</si>
  <si>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</si>
  <si>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</si>
  <si>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</si>
  <si>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</si>
  <si>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</si>
  <si>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</si>
  <si>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</si>
  <si>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</si>
  <si>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</si>
  <si>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</si>
  <si>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</si>
  <si>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</si>
  <si>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</si>
  <si>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</si>
  <si>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</si>
  <si>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</si>
  <si>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</si>
  <si>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</si>
  <si>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</si>
  <si>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</si>
  <si>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</si>
  <si>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</si>
  <si>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</si>
  <si>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</si>
  <si>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</si>
  <si>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</si>
  <si>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</si>
  <si>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</si>
  <si>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</si>
  <si>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</si>
  <si>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</si>
  <si>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</si>
  <si>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</si>
  <si>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</si>
  <si>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</si>
  <si>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</si>
  <si>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</si>
  <si>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</si>
  <si>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</si>
  <si>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</si>
  <si>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</si>
  <si>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</si>
  <si>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</si>
  <si>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</si>
  <si>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</si>
  <si>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</si>
  <si>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</si>
  <si>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</si>
  <si>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</si>
  <si>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</si>
  <si>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</si>
  <si>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</si>
  <si>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</si>
  <si>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</si>
  <si>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</si>
  <si>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</si>
  <si>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</si>
  <si>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</si>
  <si>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</si>
  <si>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</si>
  <si>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</si>
  <si>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</si>
  <si>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</si>
  <si>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</si>
  <si>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</si>
  <si>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</si>
  <si>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</si>
  <si>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</si>
  <si>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</si>
  <si>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</si>
  <si>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</si>
  <si>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</si>
  <si>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</si>
  <si>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</si>
  <si>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</si>
  <si>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</si>
  <si>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</si>
  <si>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</si>
  <si>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</si>
  <si>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</si>
  <si>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</si>
  <si>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</si>
  <si>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</si>
  <si>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</si>
  <si>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</si>
  <si>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</si>
  <si>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</si>
  <si>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</si>
  <si>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</si>
  <si>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</si>
  <si>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</si>
  <si>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</si>
  <si>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</si>
  <si>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</si>
  <si>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</si>
  <si>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</si>
  <si>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</si>
  <si>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</si>
  <si>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</si>
  <si>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</si>
  <si>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</si>
  <si>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</si>
  <si>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</si>
  <si>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</si>
  <si>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</si>
  <si>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</si>
  <si>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</si>
  <si>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</si>
  <si>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</si>
  <si>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</si>
  <si>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</si>
  <si>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</si>
  <si>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</si>
  <si>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</si>
  <si>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</si>
  <si>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</si>
  <si>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</si>
  <si>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</si>
  <si>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</si>
  <si>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</si>
  <si>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</si>
  <si>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</si>
  <si>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</si>
  <si>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</si>
  <si>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</si>
  <si>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</si>
  <si>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</si>
  <si>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</si>
  <si>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</si>
  <si>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</si>
  <si>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</si>
  <si>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</si>
  <si>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</si>
  <si>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</si>
  <si>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</si>
  <si>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</si>
  <si>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</si>
  <si>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</si>
  <si>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</si>
  <si>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</si>
  <si>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</si>
  <si>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</si>
  <si>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</si>
  <si>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</si>
  <si>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</si>
  <si>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</si>
  <si>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</si>
  <si>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</si>
  <si>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</si>
  <si>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</si>
  <si>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</si>
  <si>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</si>
  <si>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</si>
  <si>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</si>
  <si>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</si>
  <si>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</si>
  <si>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</si>
  <si>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</si>
  <si>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</si>
  <si>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</si>
  <si>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</si>
  <si>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</si>
  <si>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</si>
  <si>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</si>
  <si>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</si>
  <si>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</si>
  <si>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</si>
  <si>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</si>
  <si>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</si>
  <si>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</si>
  <si>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</si>
  <si>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</si>
  <si>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</si>
  <si>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</si>
  <si>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</si>
  <si>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</si>
  <si>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</si>
  <si>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</si>
  <si>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</si>
  <si>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</si>
  <si>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</si>
  <si>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</si>
  <si>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</si>
  <si>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</si>
  <si>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</si>
  <si>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</si>
  <si>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</si>
  <si>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</si>
  <si>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</si>
  <si>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</si>
  <si>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</si>
  <si>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</si>
  <si>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</si>
  <si>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</si>
  <si>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</si>
  <si>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</si>
  <si>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</si>
  <si>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</si>
  <si>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</si>
  <si>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</si>
  <si>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</si>
  <si>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</si>
  <si>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</si>
  <si>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</si>
  <si>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</si>
  <si>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</si>
  <si>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</si>
  <si>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</si>
  <si>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</si>
  <si>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</si>
  <si>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</si>
  <si>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</si>
  <si>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</si>
  <si>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</si>
  <si>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</si>
  <si>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</si>
  <si>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</si>
  <si>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</si>
  <si>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</si>
  <si>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</si>
  <si>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</si>
  <si>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</si>
  <si>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</si>
  <si>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</si>
  <si>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</si>
  <si>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</si>
  <si>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</si>
  <si>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</si>
  <si>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</si>
  <si>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</si>
  <si>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</si>
  <si>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</si>
  <si>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</si>
  <si>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</si>
  <si>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</si>
  <si>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</si>
  <si>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</si>
  <si>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</si>
  <si>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</si>
  <si>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</si>
  <si>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</si>
  <si>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</si>
  <si>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</si>
  <si>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</si>
  <si>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</si>
  <si>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</si>
  <si>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</si>
  <si>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</si>
  <si>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</si>
  <si>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</si>
  <si>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</si>
  <si>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</si>
  <si>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</si>
  <si>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</si>
  <si>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</si>
  <si>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</si>
  <si>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</si>
  <si>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</si>
  <si>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</si>
  <si>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</si>
  <si>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</si>
  <si>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</si>
  <si>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</si>
  <si>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</si>
  <si>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</si>
  <si>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</si>
  <si>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</si>
  <si>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</si>
  <si>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</si>
  <si>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</si>
  <si>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</si>
  <si>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</si>
  <si>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</si>
  <si>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</si>
  <si>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</si>
  <si>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</si>
  <si>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</si>
  <si>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</si>
  <si>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</si>
  <si>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</si>
  <si>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</si>
  <si>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</si>
  <si>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</si>
  <si>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</si>
  <si>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</si>
  <si>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</si>
  <si>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</si>
  <si>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</si>
  <si>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</si>
  <si>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</si>
  <si>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</si>
  <si>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</si>
  <si>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</si>
  <si>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</si>
  <si>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</si>
  <si>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</si>
  <si>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</si>
  <si>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</si>
  <si>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</si>
  <si>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</si>
  <si>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</si>
  <si>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</si>
  <si>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</si>
  <si>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</si>
  <si>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</si>
  <si>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</si>
  <si>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</si>
  <si>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</si>
  <si>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</si>
  <si>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</si>
  <si>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</si>
  <si>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</si>
  <si>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</si>
  <si>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</si>
  <si>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</si>
  <si>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</si>
  <si>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</si>
  <si>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</si>
  <si>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</si>
  <si>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</si>
  <si>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</si>
  <si>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</si>
  <si>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</si>
  <si>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</si>
  <si>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</si>
  <si>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</si>
  <si>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</si>
  <si>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</si>
  <si>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</si>
  <si>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</si>
  <si>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</si>
  <si>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</si>
  <si>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</si>
  <si>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</si>
  <si>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</si>
  <si>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</si>
  <si>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</si>
  <si>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</si>
  <si>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</si>
  <si>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</si>
  <si>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</si>
  <si>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</si>
  <si>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</si>
  <si>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</si>
  <si>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</si>
  <si>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</si>
  <si>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</si>
  <si>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</si>
  <si>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</si>
  <si>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</si>
  <si>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</si>
  <si>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</si>
  <si>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</si>
  <si>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</si>
  <si>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</si>
  <si>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</si>
  <si>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</si>
  <si>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</si>
  <si>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</si>
  <si>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</si>
  <si>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</si>
  <si>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</si>
  <si>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</si>
  <si>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</si>
  <si>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</si>
  <si>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</si>
  <si>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</si>
  <si>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</si>
  <si>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</si>
  <si>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</si>
  <si>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</si>
  <si>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</si>
  <si>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</si>
  <si>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</si>
  <si>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</si>
  <si>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</si>
  <si>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</si>
  <si>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</si>
  <si>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</si>
  <si>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</si>
  <si>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</si>
  <si>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</si>
  <si>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</si>
  <si>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</si>
  <si>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</si>
  <si>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</si>
  <si>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</si>
  <si>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</si>
  <si>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</si>
  <si>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</si>
  <si>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</si>
  <si>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</si>
  <si>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</si>
  <si>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</si>
  <si>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</si>
  <si>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</si>
  <si>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</si>
  <si>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</si>
  <si>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</si>
  <si>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</si>
  <si>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</si>
  <si>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</si>
  <si>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</si>
  <si>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</si>
  <si>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</si>
  <si>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</si>
  <si>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</si>
  <si>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</si>
  <si>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</si>
  <si>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</si>
  <si>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</si>
  <si>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</si>
  <si>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</si>
  <si>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</si>
  <si>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</si>
  <si>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</si>
  <si>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</si>
  <si>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</si>
  <si>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</si>
  <si>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</si>
  <si>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</si>
  <si>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</si>
  <si>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</si>
  <si>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</si>
  <si>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</si>
  <si>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</si>
  <si>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</si>
  <si>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</si>
  <si>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</si>
  <si>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</si>
  <si>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</si>
  <si>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</si>
  <si>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</si>
  <si>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</si>
  <si>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</si>
  <si>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</si>
  <si>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</si>
  <si>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</si>
  <si>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</si>
  <si>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</si>
  <si>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</si>
  <si>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</si>
  <si>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</si>
  <si>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</si>
  <si>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</si>
  <si>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</si>
  <si>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</si>
  <si>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</si>
  <si>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</si>
  <si>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</si>
  <si>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</si>
  <si>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</si>
  <si>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</si>
  <si>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</si>
  <si>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</si>
  <si>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</si>
  <si>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</si>
  <si>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</si>
  <si>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</si>
  <si>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</si>
  <si>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</si>
  <si>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</si>
  <si>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</si>
  <si>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</si>
  <si>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</si>
  <si>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</si>
  <si>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</si>
  <si>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</si>
  <si>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</si>
  <si>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</si>
  <si>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</si>
  <si>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</si>
  <si>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</si>
  <si>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</si>
  <si>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</si>
  <si>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</si>
  <si>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</si>
  <si>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</si>
  <si>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</si>
  <si>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</si>
  <si>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</si>
  <si>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</si>
  <si>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</si>
  <si>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</si>
  <si>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</si>
  <si>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</si>
  <si>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</si>
  <si>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</si>
  <si>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</si>
  <si>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</si>
  <si>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</si>
  <si>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</si>
  <si>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</si>
  <si>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</si>
  <si>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</si>
  <si>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</si>
  <si>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</si>
  <si>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</si>
  <si>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</si>
  <si>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</si>
  <si>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</si>
  <si>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</si>
  <si>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</si>
  <si>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</si>
  <si>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</si>
  <si>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</si>
  <si>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</si>
  <si>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</si>
  <si>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</si>
  <si>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</si>
  <si>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</si>
  <si>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</si>
  <si>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</si>
  <si>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</si>
  <si>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</si>
  <si>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</si>
  <si>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</si>
  <si>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</si>
  <si>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</si>
  <si>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</si>
  <si>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</si>
  <si>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</si>
  <si>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</si>
  <si>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</si>
  <si>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</si>
  <si>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</si>
  <si>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</si>
  <si>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</si>
  <si>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</si>
  <si>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</si>
  <si>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</si>
  <si>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</si>
  <si>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</si>
  <si>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</si>
  <si>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</si>
  <si>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</si>
  <si>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</si>
  <si>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</si>
  <si>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</si>
  <si>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</si>
  <si>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</si>
  <si>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</si>
  <si>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</si>
  <si>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</si>
  <si>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</si>
  <si>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</si>
  <si>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</si>
  <si>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</si>
  <si>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</si>
  <si>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</si>
  <si>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</si>
  <si>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</si>
  <si>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</si>
  <si>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</si>
  <si>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</si>
  <si>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</si>
  <si>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</si>
  <si>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</si>
  <si>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</si>
  <si>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</si>
  <si>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</si>
  <si>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</si>
  <si>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</si>
  <si>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</si>
  <si>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</si>
  <si>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</si>
  <si>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</si>
  <si>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</si>
  <si>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</si>
  <si>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</si>
  <si>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</si>
  <si>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</si>
  <si>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</si>
  <si>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</si>
  <si>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</si>
  <si>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</si>
  <si>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</si>
  <si>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</si>
  <si>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</si>
  <si>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</si>
  <si>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</si>
  <si>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</si>
  <si>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</si>
  <si>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</si>
  <si>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</si>
  <si>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</si>
  <si>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</si>
  <si>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</si>
  <si>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</si>
  <si>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</si>
  <si>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</si>
  <si>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</si>
  <si>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</si>
  <si>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</si>
  <si>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</si>
  <si>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</si>
  <si>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</si>
  <si>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</si>
  <si>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</si>
  <si>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</si>
  <si>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</si>
  <si>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</si>
  <si>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</si>
  <si>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</si>
  <si>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</si>
  <si>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</si>
  <si>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</si>
  <si>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</si>
  <si>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</si>
  <si>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</si>
  <si>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</si>
  <si>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</si>
  <si>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</si>
  <si>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</si>
  <si>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</si>
  <si>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</si>
  <si>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</si>
  <si>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</si>
  <si>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</si>
  <si>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</si>
  <si>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</si>
  <si>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</si>
  <si>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</si>
  <si>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</si>
  <si>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</si>
  <si>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</si>
  <si>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</si>
  <si>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</si>
  <si>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</si>
  <si>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</si>
  <si>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</si>
  <si>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</si>
  <si>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</si>
  <si>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</si>
  <si>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</si>
  <si>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</si>
  <si>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</si>
  <si>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</si>
  <si>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</si>
  <si>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</si>
  <si>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</si>
  <si>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</si>
  <si>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</si>
  <si>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</si>
  <si>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</si>
  <si>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</si>
  <si>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</si>
  <si>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</si>
  <si>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</si>
  <si>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</si>
  <si>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</si>
  <si>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</si>
  <si>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</si>
  <si>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</si>
  <si>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</si>
  <si>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</si>
  <si>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</si>
  <si>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</si>
  <si>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</si>
  <si>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</si>
  <si>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</si>
  <si>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</si>
  <si>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</si>
  <si>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</si>
  <si>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</si>
  <si>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</si>
  <si>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</si>
  <si>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</si>
  <si>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</si>
  <si>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</si>
  <si>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</si>
  <si>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</si>
  <si>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</si>
  <si>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</si>
  <si>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</si>
  <si>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</si>
  <si>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</si>
  <si>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</si>
  <si>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</si>
  <si>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</si>
  <si>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</si>
  <si>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</si>
  <si>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</si>
  <si>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</si>
  <si>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</si>
  <si>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</si>
  <si>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</si>
  <si>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</si>
  <si>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</si>
  <si>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</si>
  <si>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</si>
  <si>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</si>
  <si>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</si>
  <si>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</si>
  <si>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</si>
  <si>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</si>
  <si>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</si>
  <si>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</si>
  <si>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</si>
  <si>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</si>
  <si>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</si>
  <si>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</si>
  <si>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</si>
  <si>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</si>
  <si>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</si>
  <si>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</si>
  <si>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</si>
  <si>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</si>
  <si>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</si>
  <si>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</si>
  <si>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</si>
  <si>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</si>
  <si>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</si>
  <si>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</si>
  <si>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</si>
  <si>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</si>
  <si>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</si>
  <si>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</si>
  <si>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</si>
  <si>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</si>
  <si>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</si>
  <si>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</si>
  <si>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</si>
  <si>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</si>
  <si>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</si>
  <si>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</si>
  <si>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</si>
  <si>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</si>
  <si>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</si>
  <si>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</si>
  <si>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</si>
  <si>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</si>
  <si>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</si>
  <si>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</si>
  <si>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</si>
  <si>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</si>
  <si>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</si>
  <si>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</si>
  <si>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</si>
  <si>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</si>
  <si>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</si>
  <si>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</si>
  <si>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</si>
  <si>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</si>
  <si>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</si>
  <si>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</si>
  <si>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</si>
  <si>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</si>
  <si>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</si>
  <si>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</si>
  <si>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</si>
  <si>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</si>
  <si>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</si>
  <si>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</si>
  <si>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</si>
  <si>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</si>
  <si>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</si>
  <si>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</si>
  <si>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</si>
  <si>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</si>
  <si>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</si>
  <si>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</si>
  <si>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</si>
  <si>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</si>
  <si>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</si>
  <si>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</si>
  <si>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</si>
  <si>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</si>
  <si>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</si>
  <si>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</si>
  <si>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</si>
  <si>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</si>
  <si>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</si>
  <si>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</si>
  <si>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</si>
  <si>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</si>
  <si>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</si>
  <si>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</si>
  <si>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</si>
  <si>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</si>
  <si>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</si>
  <si>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</si>
  <si>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住宅</t>
  </si>
  <si>
    <t>城镇住宅用地</t>
  </si>
  <si>
    <t>自然人</t>
  </si>
  <si>
    <t>北京市</t>
  </si>
  <si>
    <t>核定资产</t>
  </si>
  <si>
    <t>居住项目</t>
  </si>
  <si>
    <t>自定义容积率</t>
  </si>
  <si>
    <t>不临65条商业街</t>
  </si>
  <si>
    <t>无</t>
  </si>
  <si>
    <t>1000-1500米</t>
  </si>
  <si>
    <t>通路</t>
  </si>
  <si>
    <t>通电</t>
  </si>
  <si>
    <t>通讯</t>
  </si>
  <si>
    <t>通上水</t>
  </si>
  <si>
    <t>通下水</t>
  </si>
  <si>
    <t>燃气</t>
  </si>
  <si>
    <t>平整</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</si>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</sst>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5266;&#21776;&#20113;&#407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案例"/>
      <sheetName val="比较法-住宅"/>
      <sheetName val="成本法"/>
      <sheetName val="假设开发法"/>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B5">
            <v>339.51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2022年8月8日</v>
      </c>
    </row>
    <row r="13" spans="1:2" s="2762" customFormat="1">
      <c r="A13" s="2760" t="s">
        <v>742</v>
      </c>
      <c r="B13" s="2761"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28" sqref="G2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44781</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3101</v>
      </c>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t="s">
        <v>3100</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3099</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3316">
        <v>64648</v>
      </c>
      <c r="E13" s="2920"/>
      <c r="F13" s="2920"/>
      <c r="G13" s="2920"/>
      <c r="H13" s="2920"/>
      <c r="I13" s="2920"/>
      <c r="J13" s="862"/>
      <c r="K13" s="2892"/>
      <c r="L13" s="2893"/>
      <c r="M13" s="2893"/>
      <c r="N13" s="862"/>
      <c r="O13" s="2893"/>
      <c r="P13" s="862"/>
      <c r="Q13" s="862"/>
      <c r="R13" s="862"/>
    </row>
    <row r="14" spans="1:28">
      <c r="A14" s="1360"/>
      <c r="B14" s="2918"/>
      <c r="C14" s="2919" t="s">
        <v>2453</v>
      </c>
      <c r="D14" s="2921">
        <v>70</v>
      </c>
      <c r="E14" s="2921"/>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54.43</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t="s">
        <v>3102</v>
      </c>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t="s">
        <v>428</v>
      </c>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t="s">
        <v>3030</v>
      </c>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44781</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t="str">
        <f>IF(项目基本情况!B11="自然人","——",ROUND(C6*F32/(1+'数据-取费表'!C42),2))</f>
        <v>——</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str">
        <f ca="1">IF(项目基本情况!B11="自然人","——",IF(D33="按租金收入计税",ROUND(C6*F33/(1+'数据-取费表'!C42),2),IF(D33="按房产原值计税",ROUND(C29*F33*0.7,2),INDIRECT("'数据-取费表'!Aj"&amp;$G$1))))</f>
        <v>——</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t="str">
        <f>IF(项目基本情况!B11="自然人","——",ROUND(F34*F35/10000,2))</f>
        <v>——</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t="str">
        <f>IF(项目基本情况!B11="自然人","——",ROUND(C48*F60/(1+'数据-取费表'!C42),2))</f>
        <v>——</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str">
        <f ca="1">IF(项目基本情况!B11="自然人","——",IF(D61="按租金收入计税",ROUND(C49*F61/(1+'数据-取费表'!C42),2),IF(D61="按房产原值计税",ROUND(C57*F61*0.7,2),INDIRECT("'数据-取费表'!Aj"&amp;$G$1))))</f>
        <v>——</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t="str">
        <f>IF(项目基本情况!B11="自然人","——",ROUND(F62*F63/10000,2))</f>
        <v>——</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f ca="1">ROUND(IF(AND(项目基本情况!B11="自然人",项目基本情况!B10="北京市"),J6*M17/(1+'数据-取费表'!C42),J18+J19+J20),0)</f>
        <v>0</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f ca="1">ROUND(IF(AND(项目基本情况!B11="自然人",项目基本情况!B10="北京市"),C6*F31/(1+'数据-取费表'!C42),C32+C33+C34),0)</f>
        <v>0</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t="str">
        <f>IF(项目基本情况!B11="自然人","——",ROUND(C6*F32/(1+'数据-取费表'!C42),0))</f>
        <v>——</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str">
        <f ca="1">IF(项目基本情况!B11="自然人","——",IF(D33="按租金收入计税",ROUND(C6*F33/(1+'数据-取费表'!C42),0),IF(D33="按房产原值计税",ROUND(C29*F33*0.7,0),INDIRECT("'数据-取费表'!Aj"&amp;$G$1))))</f>
        <v>——</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t="str">
        <f>IF(项目基本情况!B11="自然人","——",ROUND(F34*F35,))</f>
        <v>——</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f ca="1">ROUND(IF(AND(项目基本情况!B11="自然人",项目基本情况!B10="北京市"),C49*F59/(1+'数据-取费表'!C42),C60+C61+C62),0)</f>
        <v>0</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t="str">
        <f>IF(项目基本情况!B11="自然人","——",ROUND(C48*F60/(1+'数据-取费表'!C42),0))</f>
        <v>——</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str">
        <f ca="1">IF(项目基本情况!B11="自然人","——",IF(D61="按租金收入计税",ROUND(C49*F61/(1+'数据-取费表'!C42),0),IF(D61="按房产原值计税",ROUND(C57*F61*0.7,0),INDIRECT("'数据-取费表'!Aj"&amp;$G$1))))</f>
        <v>——</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t="str">
        <f>IF(项目基本情况!B11="自然人","——",ROUND(F62*F63,0))</f>
        <v>——</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44781</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44781</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44781</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44781</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9.2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44781</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9.2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2022年8月8日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44781</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9.2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44781</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0.1</v>
      </c>
      <c r="D63" s="2221">
        <v>0.25</v>
      </c>
      <c r="E63" s="1157">
        <f>'数据-汇总表'!E13</f>
        <v>0</v>
      </c>
      <c r="F63" s="1196" t="e">
        <f t="shared" si="15"/>
        <v>#DIV/0!</v>
      </c>
      <c r="G63" s="2225" t="s">
        <v>2137</v>
      </c>
      <c r="H63" s="2222" t="str">
        <f>IF(G63="商业",项目基本情况!B37,IF(G63="办公",项目基本情况!C37,IF(G63="住宅",项目基本情况!D37,项目基本情况!E37)))</f>
        <v>十级</v>
      </c>
      <c r="I63" s="1236">
        <f>SUMIF(修正!A57:A68,H63,修正!G57:G68)</f>
        <v>0.1</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44781</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0.1</v>
      </c>
      <c r="D58" s="2221">
        <v>0.25</v>
      </c>
      <c r="E58" s="1157">
        <f>'数据-汇总表'!E13</f>
        <v>0</v>
      </c>
      <c r="F58" s="2249" t="e">
        <f t="shared" si="15"/>
        <v>#DIV/0!</v>
      </c>
      <c r="G58" s="2225" t="s">
        <v>2137</v>
      </c>
      <c r="H58" s="2222" t="str">
        <f>IF(G58="商业",项目基本情况!B37,IF(G58="办公",项目基本情况!C37,IF(G58="住宅",项目基本情况!D37,项目基本情况!E37)))</f>
        <v>十级</v>
      </c>
      <c r="I58" s="1235">
        <f>SUMIF(修正!A57:A68,H58,修正!G57:G68)</f>
        <v>0.1</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zoomScale="70" zoomScaleNormal="80" zoomScaleSheetLayoutView="70" workbookViewId="0">
      <selection activeCell="E17" sqref="E1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339.51</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137</v>
      </c>
      <c r="C2" s="2266" t="s">
        <v>2172</v>
      </c>
      <c r="D2" s="473" t="s">
        <v>2173</v>
      </c>
      <c r="E2" s="2267" t="s">
        <v>3097</v>
      </c>
      <c r="F2" s="473" t="s">
        <v>2174</v>
      </c>
      <c r="G2" s="473" t="str">
        <f>IF(E2="商业",项目基本情况!B37,IF(E2="办公",项目基本情况!C37,IF(E2="住宅",项目基本情况!D37,IF(E2="工业",项目基本情况!E37,项目基本情况!F37))))</f>
        <v>十级</v>
      </c>
      <c r="H2" s="473" t="s">
        <v>2175</v>
      </c>
      <c r="I2" s="473" t="str">
        <f>IF(E2="商业",项目基本情况!B38,IF(E2="办公",项目基本情况!C38,IF(E2="住宅",项目基本情况!D38,IF(E2="工业",项目基本情况!E38,项目基本情况!F38))))</f>
        <v>Ⅹ-密3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6238</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4035</v>
      </c>
      <c r="C3" s="2266" t="s">
        <v>2178</v>
      </c>
      <c r="D3" s="473" t="s">
        <v>2179</v>
      </c>
      <c r="E3" s="2267" t="s">
        <v>3098</v>
      </c>
      <c r="F3" s="2270" t="s">
        <v>3103</v>
      </c>
      <c r="G3" s="2271">
        <v>1.5</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4808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3922</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4020</v>
      </c>
      <c r="D5" s="2274">
        <f>ROUND(C6*C17+C20,0)</f>
        <v>4020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3330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4000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3033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十级</v>
      </c>
      <c r="Y7" s="498" t="s">
        <v>2194</v>
      </c>
      <c r="Z7" s="498">
        <f>G3</f>
        <v>1.5</v>
      </c>
      <c r="AA7" s="2262"/>
      <c r="AB7" s="2262"/>
      <c r="AC7" s="2262"/>
      <c r="AD7" s="2263"/>
      <c r="AE7" s="2263"/>
      <c r="AF7" s="2263"/>
      <c r="AG7" s="2263"/>
      <c r="AH7" s="2263"/>
      <c r="AI7" s="2263"/>
      <c r="AJ7" s="2264"/>
    </row>
    <row r="8" spans="1:36" ht="25.5">
      <c r="A8" s="2294"/>
      <c r="B8" s="473" t="s">
        <v>2195</v>
      </c>
      <c r="C8" s="2267" t="s">
        <v>3104</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4000</v>
      </c>
      <c r="N10" s="473">
        <f>SUMPRODUCT((因素修正幅度!B327:B357=I2)*(因素修正幅度!C3:G3=E2)*(因素修正幅度!C327:G357))</f>
        <v>0.15</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3105</v>
      </c>
      <c r="D15" s="2325" t="s">
        <v>3105</v>
      </c>
      <c r="E15" s="2326" t="s">
        <v>3106</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0.96709999999999996</v>
      </c>
      <c r="J18" s="2345"/>
      <c r="K18" s="2259"/>
      <c r="L18" s="2259">
        <f>SUMPRODUCT(('地价-分区'!A22:A30=YEAR(G23)&amp;"-"&amp;ROUNDUP(MONTH(G23)/3,0))*('地价-分区'!S19:W19=E2)*('地价-分区'!S22:W30))</f>
        <v>1.0381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20</v>
      </c>
      <c r="D20" s="3269" t="s">
        <v>2237</v>
      </c>
      <c r="E20" s="3270"/>
      <c r="F20" s="3269" t="s">
        <v>2234</v>
      </c>
      <c r="G20" s="3270"/>
      <c r="H20" s="2347" t="s">
        <v>3107</v>
      </c>
      <c r="I20" s="2347" t="s">
        <v>3108</v>
      </c>
      <c r="J20" s="2989" t="s">
        <v>3109</v>
      </c>
      <c r="K20" s="2347" t="s">
        <v>3110</v>
      </c>
      <c r="L20" s="2347" t="s">
        <v>3111</v>
      </c>
      <c r="M20" s="2347" t="s">
        <v>3112</v>
      </c>
      <c r="N20" s="2347" t="s">
        <v>3113</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1.5</v>
      </c>
      <c r="D21" s="497" t="str">
        <f>IF(OR(G2="八级",G2="九级",G2="十级",G2="十一级",G2="十二级"),"五通一平","七通一平")</f>
        <v>五通一平</v>
      </c>
      <c r="E21" s="484">
        <f>SUMPRODUCT((修正!B1:M1=G2)*(修正!B17:M17))</f>
        <v>185</v>
      </c>
      <c r="F21" s="2351" t="s">
        <v>3091</v>
      </c>
      <c r="G21" s="485">
        <f>SUM(H21:O21)</f>
        <v>215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30</v>
      </c>
      <c r="N21" s="482">
        <f>SUMPRODUCT((七通一平=N20)*(修正!B1:M1=G2)*(修正!B8:M16))</f>
        <v>10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1.0468999999999999</v>
      </c>
      <c r="D23" s="2359" t="s">
        <v>2241</v>
      </c>
      <c r="E23" s="2843">
        <v>44197</v>
      </c>
      <c r="F23" s="2359" t="s">
        <v>2242</v>
      </c>
      <c r="G23" s="2842">
        <f>项目基本情况!D3</f>
        <v>44781</v>
      </c>
      <c r="H23" s="2361" t="s">
        <v>3114</v>
      </c>
      <c r="I23" s="2360" t="str">
        <f>IF(H23="季度增幅（自定义）",SUMIF(N25:N28,E2,O25:O28),"")</f>
        <v/>
      </c>
      <c r="J23" s="2982" t="s">
        <v>3093</v>
      </c>
      <c r="K23" s="2346"/>
      <c r="L23" s="2362" t="s">
        <v>2243</v>
      </c>
      <c r="M23" s="488">
        <f>ROUND(SUMIF(地价!B2:G2,E2,地价!B13:G13),0)</f>
        <v>718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0.96130000000000004</v>
      </c>
      <c r="D24" s="2365" t="s">
        <v>2246</v>
      </c>
      <c r="E24" s="2365">
        <f>存贷款利率!E20/100</f>
        <v>4.3499999999999997E-2</v>
      </c>
      <c r="F24" s="2365" t="s">
        <v>2238</v>
      </c>
      <c r="G24" s="2366">
        <f>SUMIF(M30:Q30,E2,M33:Q33)</f>
        <v>0.05</v>
      </c>
      <c r="H24" s="2365" t="s">
        <v>2247</v>
      </c>
      <c r="I24" s="2367">
        <f>项目基本情况!D15</f>
        <v>54.43</v>
      </c>
      <c r="J24" s="494">
        <f>IF(E2="住宅",70,IF(E2="商业",40,50))</f>
        <v>70</v>
      </c>
      <c r="K24" s="2346"/>
      <c r="L24" s="2368" t="s">
        <v>2248</v>
      </c>
      <c r="M24" s="489">
        <f>ROUND(SUMPRODUCT((地价!A4:A13=YEAR(G23)&amp;"-"&amp;ROUNDUP(MONTH(G23)/3,0))*(地价!B2:G2=E2)*(地价!B4:G13)),0)</f>
        <v>752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1.5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137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4046</v>
      </c>
      <c r="D33" s="2420">
        <f>'[3]数据-取费表'!$B$5</f>
        <v>339.51</v>
      </c>
      <c r="E33" s="2421">
        <f>ROUND(C33*D33/10000,0)</f>
        <v>137</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1012</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2023</v>
      </c>
      <c r="D37" s="2420"/>
      <c r="E37" s="473">
        <f>ROUND(C37*D37/10000,0)</f>
        <v>0</v>
      </c>
      <c r="F37" s="473">
        <f>SUMIF(修正!A57:A68,G2,修正!B57:B68)</f>
        <v>0.5</v>
      </c>
      <c r="G37" s="473">
        <f>ROUND(IF(E2="工业",C37*$M$42,C37*$M$41),0)</f>
        <v>506</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809</v>
      </c>
      <c r="D38" s="2420"/>
      <c r="E38" s="473">
        <f t="shared" ref="E38:E42" si="4">ROUND(C38*D38/10000,0)</f>
        <v>0</v>
      </c>
      <c r="F38" s="473">
        <f>SUMIF(修正!A57:A68,G2,修正!C57:C68)</f>
        <v>0.2</v>
      </c>
      <c r="G38" s="473">
        <f>ROUND(IF(E2="工业",C38*$M$42,C38*$M$41),0)</f>
        <v>202</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809</v>
      </c>
      <c r="D39" s="2420"/>
      <c r="E39" s="473">
        <f t="shared" si="4"/>
        <v>0</v>
      </c>
      <c r="F39" s="473">
        <f>SUMIF(修正!A57:A68,G2,修正!D57:D68)</f>
        <v>0.2</v>
      </c>
      <c r="G39" s="473">
        <f>ROUND(IF(E2="工业",C39*$M$42,C39*$M$41),0)</f>
        <v>202</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809</v>
      </c>
      <c r="D40" s="2420"/>
      <c r="E40" s="473">
        <f t="shared" si="4"/>
        <v>0</v>
      </c>
      <c r="F40" s="495">
        <f>SUMIF(修正!A57:A68,G2,修正!E57:E68)</f>
        <v>0.2</v>
      </c>
      <c r="G40" s="473">
        <f>ROUND(IF(E2="工业",C40*$M$42,C40*$M$41),0)</f>
        <v>202</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f>IF(E2="住宅",SUMIF(L1:L12,G2,N1:N12),"——")</f>
        <v>0.15</v>
      </c>
      <c r="G73" s="2459"/>
      <c r="H73" s="2460">
        <f t="shared" ref="H73:H81" si="18">IFERROR(ROUNDDOWN($F$73*I73/2,4),"——")</f>
        <v>1.4999999999999999E-2</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f t="shared" si="18"/>
        <v>1.95E-2</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f t="shared" si="18"/>
        <v>7.4999999999999997E-3</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f t="shared" si="18"/>
        <v>3.7000000000000002E-3</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f t="shared" si="18"/>
        <v>6.0000000000000001E-3</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f t="shared" si="18"/>
        <v>6.7000000000000002E-3</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f t="shared" si="18"/>
        <v>3.7000000000000002E-3</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f t="shared" si="18"/>
        <v>8.9999999999999993E-3</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f t="shared" si="18"/>
        <v>3.7000000000000002E-3</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1.5</v>
      </c>
      <c r="C117" s="2365" t="s">
        <v>2318</v>
      </c>
      <c r="D117" s="500">
        <f>SUMPRODUCT((A119:A123=F117)*(B118:M118=H117)*B119:M123)</f>
        <v>0.76880000000000004</v>
      </c>
      <c r="E117" s="473" t="s">
        <v>2173</v>
      </c>
      <c r="F117" s="501" t="str">
        <f>E2</f>
        <v>住宅</v>
      </c>
      <c r="G117" s="473" t="s">
        <v>2174</v>
      </c>
      <c r="H117" s="501" t="str">
        <f>G2</f>
        <v>十级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0.98029999999999995</v>
      </c>
      <c r="C119" s="502">
        <f>B119</f>
        <v>0.98029999999999995</v>
      </c>
      <c r="D119" s="502">
        <f>ROUND(0.949-0.014*B117,4)</f>
        <v>0.92800000000000005</v>
      </c>
      <c r="E119" s="502">
        <f>D119</f>
        <v>0.92800000000000005</v>
      </c>
      <c r="F119" s="502">
        <f>E119</f>
        <v>0.92800000000000005</v>
      </c>
      <c r="G119" s="502">
        <f>F119</f>
        <v>0.92800000000000005</v>
      </c>
      <c r="H119" s="502">
        <f>G119</f>
        <v>0.92800000000000005</v>
      </c>
      <c r="I119" s="502">
        <f>ROUND(0.8486-0.018*B117,4)</f>
        <v>0.8216</v>
      </c>
      <c r="J119" s="502">
        <f t="shared" ref="J119:M122" si="36">I119</f>
        <v>0.8216</v>
      </c>
      <c r="K119" s="502">
        <f t="shared" si="36"/>
        <v>0.8216</v>
      </c>
      <c r="L119" s="502">
        <f t="shared" si="36"/>
        <v>0.8216</v>
      </c>
      <c r="M119" s="504">
        <f t="shared" si="36"/>
        <v>0.8216</v>
      </c>
    </row>
    <row r="120" spans="1:14">
      <c r="A120" s="2413" t="s">
        <v>2230</v>
      </c>
      <c r="B120" s="502">
        <f>ROUND(0.993-0.0112*B117,4)</f>
        <v>0.97619999999999996</v>
      </c>
      <c r="C120" s="502">
        <f>B120</f>
        <v>0.97619999999999996</v>
      </c>
      <c r="D120" s="502">
        <f>ROUND(0.9415-0.0142*B117,4)</f>
        <v>0.92020000000000002</v>
      </c>
      <c r="E120" s="502">
        <f t="shared" ref="E120:H121" si="37">D120</f>
        <v>0.92020000000000002</v>
      </c>
      <c r="F120" s="502">
        <f t="shared" si="37"/>
        <v>0.92020000000000002</v>
      </c>
      <c r="G120" s="502">
        <f t="shared" si="37"/>
        <v>0.92020000000000002</v>
      </c>
      <c r="H120" s="502">
        <f t="shared" si="37"/>
        <v>0.92020000000000002</v>
      </c>
      <c r="I120" s="502">
        <f>ROUND(0.838-0.0182*B117,4)</f>
        <v>0.81069999999999998</v>
      </c>
      <c r="J120" s="502">
        <f t="shared" si="36"/>
        <v>0.81069999999999998</v>
      </c>
      <c r="K120" s="502">
        <f t="shared" si="36"/>
        <v>0.81069999999999998</v>
      </c>
      <c r="L120" s="502">
        <f t="shared" si="36"/>
        <v>0.81069999999999998</v>
      </c>
      <c r="M120" s="504">
        <f t="shared" si="36"/>
        <v>0.81069999999999998</v>
      </c>
    </row>
    <row r="121" spans="1:14">
      <c r="A121" s="2413" t="s">
        <v>2231</v>
      </c>
      <c r="B121" s="502">
        <f>ROUND(0.9448-0.0115*B117,4)</f>
        <v>0.92759999999999998</v>
      </c>
      <c r="C121" s="502">
        <f>B121</f>
        <v>0.92759999999999998</v>
      </c>
      <c r="D121" s="502">
        <f>ROUND(0.937-0.0145*B117,4)</f>
        <v>0.9153</v>
      </c>
      <c r="E121" s="502">
        <f t="shared" si="37"/>
        <v>0.9153</v>
      </c>
      <c r="F121" s="502">
        <f t="shared" si="37"/>
        <v>0.9153</v>
      </c>
      <c r="G121" s="502">
        <f t="shared" si="37"/>
        <v>0.9153</v>
      </c>
      <c r="H121" s="502">
        <f t="shared" si="37"/>
        <v>0.9153</v>
      </c>
      <c r="I121" s="502">
        <f>ROUND(0.7965-0.0185*B117,4)</f>
        <v>0.76880000000000004</v>
      </c>
      <c r="J121" s="502">
        <f t="shared" si="36"/>
        <v>0.76880000000000004</v>
      </c>
      <c r="K121" s="502">
        <f t="shared" si="36"/>
        <v>0.76880000000000004</v>
      </c>
      <c r="L121" s="502">
        <f t="shared" si="36"/>
        <v>0.76880000000000004</v>
      </c>
      <c r="M121" s="504">
        <f t="shared" si="36"/>
        <v>0.76880000000000004</v>
      </c>
    </row>
    <row r="122" spans="1:14" ht="13.5" thickBot="1">
      <c r="A122" s="2417" t="s">
        <v>2232</v>
      </c>
      <c r="B122" s="503">
        <f>ROUND(0.7836-0.012*B117,4)</f>
        <v>0.76559999999999995</v>
      </c>
      <c r="C122" s="503">
        <f>B122</f>
        <v>0.76559999999999995</v>
      </c>
      <c r="D122" s="503">
        <f>ROUND(0.753-0.015*B117,4)</f>
        <v>0.73050000000000004</v>
      </c>
      <c r="E122" s="503">
        <f>D122</f>
        <v>0.73050000000000004</v>
      </c>
      <c r="F122" s="503">
        <f>E122</f>
        <v>0.73050000000000004</v>
      </c>
      <c r="G122" s="503">
        <f>ROUND(0.6612-0.018*B117,4)</f>
        <v>0.63419999999999999</v>
      </c>
      <c r="H122" s="503">
        <f>G122</f>
        <v>0.63419999999999999</v>
      </c>
      <c r="I122" s="503">
        <f>ROUND(0.5905-0.019*B117,4)</f>
        <v>0.56200000000000006</v>
      </c>
      <c r="J122" s="503">
        <f t="shared" si="36"/>
        <v>0.56200000000000006</v>
      </c>
      <c r="K122" s="503">
        <f t="shared" si="36"/>
        <v>0.56200000000000006</v>
      </c>
      <c r="L122" s="503">
        <f t="shared" si="36"/>
        <v>0.56200000000000006</v>
      </c>
      <c r="M122" s="505">
        <f t="shared" si="36"/>
        <v>0.56200000000000006</v>
      </c>
    </row>
    <row r="123" spans="1:14">
      <c r="A123" s="2492" t="s">
        <v>2901</v>
      </c>
      <c r="B123" s="502">
        <f>ROUND(0.9404-0.0106*B117,4)</f>
        <v>0.92449999999999999</v>
      </c>
      <c r="C123" s="502">
        <f>B123</f>
        <v>0.92449999999999999</v>
      </c>
      <c r="D123" s="502">
        <f>ROUND(0.8955-0.0135*B117,4)</f>
        <v>0.87529999999999997</v>
      </c>
      <c r="E123" s="502">
        <f t="shared" ref="E123" si="38">D123</f>
        <v>0.87529999999999997</v>
      </c>
      <c r="F123" s="502">
        <f t="shared" ref="F123" si="39">E123</f>
        <v>0.87529999999999997</v>
      </c>
      <c r="G123" s="502">
        <f t="shared" ref="G123" si="40">F123</f>
        <v>0.87529999999999997</v>
      </c>
      <c r="H123" s="502">
        <f t="shared" ref="H123" si="41">G123</f>
        <v>0.87529999999999997</v>
      </c>
      <c r="I123" s="502">
        <f>ROUND(0.7632-0.0166*B117,4)</f>
        <v>0.73829999999999996</v>
      </c>
      <c r="J123" s="502">
        <f t="shared" ref="J123" si="42">I123</f>
        <v>0.73829999999999996</v>
      </c>
      <c r="K123" s="502">
        <f t="shared" ref="K123" si="43">J123</f>
        <v>0.73829999999999996</v>
      </c>
      <c r="L123" s="502">
        <f t="shared" ref="L123" si="44">K123</f>
        <v>0.73829999999999996</v>
      </c>
      <c r="M123" s="504">
        <f t="shared" ref="M123" si="45">L123</f>
        <v>0.73829999999999996</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1.0985</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137</v>
      </c>
      <c r="C2" s="2543" t="s">
        <v>2332</v>
      </c>
      <c r="D2" s="2543" t="s">
        <v>2333</v>
      </c>
      <c r="E2" s="2544">
        <f ca="1">SUMIF(E6:E13,"&lt;&gt;#ref!",E6:E13)</f>
        <v>339.51</v>
      </c>
      <c r="F2" s="2542"/>
      <c r="G2" s="2542"/>
      <c r="H2" s="2542"/>
      <c r="I2" s="2542"/>
      <c r="J2" s="2542"/>
      <c r="K2" s="2542"/>
      <c r="L2" s="2542"/>
      <c r="M2" s="2542"/>
      <c r="N2" s="2542"/>
      <c r="O2" s="2542"/>
      <c r="P2" s="2542"/>
    </row>
    <row r="3" spans="1:16" ht="15.75">
      <c r="A3" s="2543" t="s">
        <v>2334</v>
      </c>
      <c r="B3" s="1704">
        <f ca="1">ROUND(B2*10000/E2,0)</f>
        <v>4035</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137</v>
      </c>
      <c r="C6" s="2543" t="s">
        <v>2332</v>
      </c>
      <c r="D6" s="2542"/>
      <c r="E6" s="2544">
        <f ca="1">SUMIF(INDIRECT("'"&amp;A6&amp;"'"&amp;"!C:C"),"建筑面积",INDIRECT("'"&amp;A6&amp;"'"&amp;"!D:D"))</f>
        <v>339.51</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44781</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44781</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2022-08-18T09:19:15Z</dcterms:modified>
</cp:coreProperties>
</file>