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北京市顺义区裕曦路9号院6号楼301等4套商业立项办公\F01\"/>
    </mc:Choice>
  </mc:AlternateContent>
  <xr:revisionPtr revIDLastSave="0" documentId="13_ncr:1_{0875CFF5-8F1C-4660-B1CC-39656AC398C7}" xr6:coauthVersionLast="47" xr6:coauthVersionMax="47" xr10:uidLastSave="{00000000-0000-0000-0000-000000000000}"/>
  <bookViews>
    <workbookView xWindow="-120" yWindow="-120" windowWidth="19440" windowHeight="1500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25" i="31" l="1"/>
  <c r="B26" i="31"/>
  <c r="B27" i="31"/>
  <c r="B24" i="31"/>
  <c r="A25" i="31"/>
  <c r="A26" i="31"/>
  <c r="A27" i="31"/>
  <c r="A24" i="31"/>
  <c r="E48" i="34"/>
  <c r="G48" i="34"/>
  <c r="C34" i="34"/>
  <c r="Y6" i="1"/>
  <c r="N7" i="1"/>
  <c r="N6" i="1"/>
  <c r="F20" i="6"/>
  <c r="F19" i="6"/>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D45" i="79"/>
  <c r="AA28" i="79"/>
  <c r="AD28" i="79" s="1"/>
  <c r="U40" i="79"/>
  <c r="S42"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O67" i="71"/>
  <c r="D63" i="71"/>
  <c r="D75" i="71"/>
  <c r="C74" i="71"/>
  <c r="D74" i="71" s="1"/>
  <c r="D87" i="71"/>
  <c r="C60" i="71"/>
  <c r="D59" i="71"/>
  <c r="P67" i="71"/>
  <c r="E66" i="71"/>
  <c r="P65" i="71" s="1"/>
  <c r="O66" i="71"/>
  <c r="D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S21" i="33" s="1"/>
  <c r="E83" i="21"/>
  <c r="F83" i="21" s="1"/>
  <c r="H1" i="69"/>
  <c r="AC25" i="40"/>
  <c r="W25" i="40"/>
  <c r="U25" i="40"/>
  <c r="U29" i="39"/>
  <c r="W29" i="39"/>
  <c r="W18" i="36"/>
  <c r="AB21" i="37"/>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S55" i="31" s="1"/>
  <c r="R56" i="31"/>
  <c r="S56" i="31" s="1"/>
  <c r="R57" i="31"/>
  <c r="R58" i="31"/>
  <c r="R59" i="31"/>
  <c r="S59" i="31" s="1"/>
  <c r="R60" i="31"/>
  <c r="S60" i="31" s="1"/>
  <c r="R61" i="31"/>
  <c r="S61" i="31" s="1"/>
  <c r="R62" i="31"/>
  <c r="R63" i="31"/>
  <c r="S63" i="31" s="1"/>
  <c r="R64" i="31"/>
  <c r="S64" i="31" s="1"/>
  <c r="R65" i="31"/>
  <c r="S65" i="31" s="1"/>
  <c r="R66" i="31"/>
  <c r="R67" i="31"/>
  <c r="S67" i="31" s="1"/>
  <c r="R68" i="31"/>
  <c r="R69" i="31"/>
  <c r="S69" i="31" s="1"/>
  <c r="R70" i="31"/>
  <c r="R71" i="31"/>
  <c r="S71" i="31" s="1"/>
  <c r="R72" i="31"/>
  <c r="S72" i="31" s="1"/>
  <c r="R73" i="31"/>
  <c r="S73" i="31" s="1"/>
  <c r="R74" i="31"/>
  <c r="R75" i="31"/>
  <c r="S75" i="31" s="1"/>
  <c r="R76" i="31"/>
  <c r="S76" i="31" s="1"/>
  <c r="R77" i="31"/>
  <c r="S77" i="31" s="1"/>
  <c r="R78" i="31"/>
  <c r="R79" i="31"/>
  <c r="S79" i="31" s="1"/>
  <c r="R80" i="3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R134" i="31"/>
  <c r="R135" i="31"/>
  <c r="S135" i="31" s="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R153" i="3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R198" i="31"/>
  <c r="R199" i="31"/>
  <c r="S199" i="31" s="1"/>
  <c r="R200" i="3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R217" i="31"/>
  <c r="R218" i="31"/>
  <c r="R219" i="31"/>
  <c r="S219" i="31" s="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S503" i="31" s="1"/>
  <c r="R504" i="31"/>
  <c r="S504" i="31" s="1"/>
  <c r="R505" i="3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5" i="3" s="1"/>
  <c r="BO16" i="3"/>
  <c r="BO17" i="3"/>
  <c r="BN13" i="3"/>
  <c r="BN14" i="3"/>
  <c r="BN5" i="3" s="1"/>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A14" i="3" s="1"/>
  <c r="BF14" i="3"/>
  <c r="BG14" i="3"/>
  <c r="BH14" i="3"/>
  <c r="BI14" i="3"/>
  <c r="BJ14" i="3"/>
  <c r="BK14" i="3"/>
  <c r="BB15" i="3"/>
  <c r="BB5" i="3" s="1"/>
  <c r="BC15" i="3"/>
  <c r="BD15" i="3"/>
  <c r="BE15" i="3"/>
  <c r="BF15" i="3"/>
  <c r="BF5" i="3" s="1"/>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2" i="31"/>
  <c r="S290" i="31"/>
  <c r="S286" i="31"/>
  <c r="S284" i="31"/>
  <c r="S282" i="31"/>
  <c r="S278" i="31"/>
  <c r="S274" i="31"/>
  <c r="S270" i="31"/>
  <c r="S266" i="31"/>
  <c r="S262" i="31"/>
  <c r="S260" i="31"/>
  <c r="S258" i="31"/>
  <c r="S254" i="31"/>
  <c r="S251" i="31"/>
  <c r="S250" i="31"/>
  <c r="S247" i="31"/>
  <c r="S246" i="31"/>
  <c r="S243" i="31"/>
  <c r="S242" i="31"/>
  <c r="S239" i="31"/>
  <c r="S238" i="31"/>
  <c r="S235" i="31"/>
  <c r="S234" i="31"/>
  <c r="S231" i="31"/>
  <c r="S230" i="31"/>
  <c r="S227" i="31"/>
  <c r="S226" i="31"/>
  <c r="S223" i="31"/>
  <c r="S426" i="31"/>
  <c r="S222" i="31"/>
  <c r="S218" i="31"/>
  <c r="S217" i="31"/>
  <c r="S216" i="31"/>
  <c r="S214" i="31"/>
  <c r="S210" i="31"/>
  <c r="S206" i="31"/>
  <c r="S202" i="31"/>
  <c r="S200" i="31"/>
  <c r="S198" i="31"/>
  <c r="S197" i="31"/>
  <c r="S194" i="31"/>
  <c r="S190" i="31"/>
  <c r="S186" i="31"/>
  <c r="S184" i="31"/>
  <c r="S182" i="31"/>
  <c r="S178" i="31"/>
  <c r="S174" i="31"/>
  <c r="S170" i="31"/>
  <c r="S168" i="31"/>
  <c r="S166" i="31"/>
  <c r="S162" i="31"/>
  <c r="S158" i="31"/>
  <c r="S154" i="31"/>
  <c r="S153" i="31"/>
  <c r="S152" i="31"/>
  <c r="S150" i="31"/>
  <c r="S146" i="31"/>
  <c r="S142" i="31"/>
  <c r="S138" i="31"/>
  <c r="S136" i="31"/>
  <c r="S134" i="31"/>
  <c r="S133" i="31"/>
  <c r="S130" i="31"/>
  <c r="S126" i="31"/>
  <c r="S495" i="31"/>
  <c r="S494" i="31"/>
  <c r="S491" i="31"/>
  <c r="S490" i="31"/>
  <c r="S487" i="31"/>
  <c r="S486" i="31"/>
  <c r="S483" i="31"/>
  <c r="S482" i="31"/>
  <c r="S479" i="31"/>
  <c r="S478" i="31"/>
  <c r="S475" i="31"/>
  <c r="S474" i="31"/>
  <c r="S471" i="31"/>
  <c r="S470" i="31"/>
  <c r="S442" i="31"/>
  <c r="S438" i="31"/>
  <c r="S434" i="31"/>
  <c r="S433" i="31"/>
  <c r="S430" i="31"/>
  <c r="S122" i="31"/>
  <c r="S118" i="31"/>
  <c r="S116" i="31"/>
  <c r="S114" i="31"/>
  <c r="S506" i="31"/>
  <c r="S502" i="31"/>
  <c r="S498" i="31"/>
  <c r="S466" i="31"/>
  <c r="S462" i="31"/>
  <c r="S458" i="31"/>
  <c r="S454" i="31"/>
  <c r="S452" i="31"/>
  <c r="S450" i="31"/>
  <c r="S54" i="31"/>
  <c r="S52" i="31"/>
  <c r="S51" i="31"/>
  <c r="S50" i="31"/>
  <c r="S48" i="31"/>
  <c r="S47" i="31"/>
  <c r="S46" i="31"/>
  <c r="S44" i="31"/>
  <c r="S43" i="31"/>
  <c r="S42" i="31"/>
  <c r="S40" i="31"/>
  <c r="S39" i="31"/>
  <c r="S38" i="31"/>
  <c r="S36" i="31"/>
  <c r="S35" i="31"/>
  <c r="S34" i="31"/>
  <c r="S32" i="31"/>
  <c r="S74" i="31"/>
  <c r="S70" i="31"/>
  <c r="S68" i="31"/>
  <c r="S66" i="31"/>
  <c r="S62" i="31"/>
  <c r="S58" i="31"/>
  <c r="S57" i="31"/>
  <c r="S96" i="31"/>
  <c r="S94" i="31"/>
  <c r="S90" i="31"/>
  <c r="S86" i="31"/>
  <c r="S82" i="31"/>
  <c r="S80" i="31"/>
  <c r="S78" i="31"/>
  <c r="S31" i="31"/>
  <c r="S30" i="31"/>
  <c r="S98" i="31"/>
  <c r="S99" i="31"/>
  <c r="S102" i="31"/>
  <c r="S103" i="31"/>
  <c r="S106" i="31"/>
  <c r="S107" i="31"/>
  <c r="S110" i="31"/>
  <c r="S111" i="31"/>
  <c r="S446"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D112" i="34"/>
  <c r="E112" i="34" s="1"/>
  <c r="F112" i="34" s="1"/>
  <c r="G112" i="34" s="1"/>
  <c r="H112" i="34" s="1"/>
  <c r="I112" i="34" s="1"/>
  <c r="J112" i="34" s="1"/>
  <c r="K112" i="34" s="1"/>
  <c r="L112" i="34" s="1"/>
  <c r="M112" i="34" s="1"/>
  <c r="F40" i="33"/>
  <c r="J41" i="33"/>
  <c r="AC41" i="33" s="1"/>
  <c r="D113" i="33"/>
  <c r="F37" i="33"/>
  <c r="D111" i="33"/>
  <c r="E111" i="33"/>
  <c r="F111" i="33" s="1"/>
  <c r="S518" i="31"/>
  <c r="S520" i="31"/>
  <c r="S522"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D70" i="36"/>
  <c r="H22" i="36"/>
  <c r="AB22" i="36" s="1"/>
  <c r="D68" i="36"/>
  <c r="E68" i="36" s="1"/>
  <c r="F68" i="36"/>
  <c r="G68" i="36" s="1"/>
  <c r="D64" i="36"/>
  <c r="E64" i="36" s="1"/>
  <c r="F64" i="36"/>
  <c r="G64" i="36"/>
  <c r="J16" i="36"/>
  <c r="W16" i="36" s="1"/>
  <c r="D62" i="36"/>
  <c r="E62" i="36"/>
  <c r="F62" i="36"/>
  <c r="G62" i="36" s="1"/>
  <c r="B59" i="36"/>
  <c r="J13" i="36" s="1"/>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AB34" i="35" s="1"/>
  <c r="B77" i="35"/>
  <c r="B75" i="35"/>
  <c r="J24" i="35" s="1"/>
  <c r="AC24" i="35"/>
  <c r="B73" i="35"/>
  <c r="F23" i="35" s="1"/>
  <c r="AA23" i="35" s="1"/>
  <c r="B57" i="35"/>
  <c r="B61" i="35"/>
  <c r="B59" i="35"/>
  <c r="F12" i="35" s="1"/>
  <c r="B131" i="34"/>
  <c r="B129" i="34"/>
  <c r="B127" i="34"/>
  <c r="H45" i="34" s="1"/>
  <c r="U45" i="34" s="1"/>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F12" i="34"/>
  <c r="S12" i="34" s="1"/>
  <c r="Q11" i="34"/>
  <c r="Z11" i="34" s="1"/>
  <c r="Q10" i="34"/>
  <c r="Z10" i="34" s="1"/>
  <c r="F10" i="34"/>
  <c r="AA10" i="34" s="1"/>
  <c r="Q9" i="34"/>
  <c r="Z9" i="34"/>
  <c r="J9" i="34"/>
  <c r="AC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H46" i="21" s="1"/>
  <c r="U46" i="21" s="1"/>
  <c r="B128" i="2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5" i="39"/>
  <c r="S45" i="39" s="1"/>
  <c r="J44" i="39"/>
  <c r="AC44" i="39" s="1"/>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AA36" i="34" s="1"/>
  <c r="J35" i="34"/>
  <c r="W35" i="34" s="1"/>
  <c r="H39" i="33"/>
  <c r="AB39" i="33" s="1"/>
  <c r="F26" i="33"/>
  <c r="AA26" i="33" s="1"/>
  <c r="U35" i="33"/>
  <c r="S40" i="33"/>
  <c r="W39" i="33"/>
  <c r="H39" i="37"/>
  <c r="AB39" i="37"/>
  <c r="S27" i="35"/>
  <c r="F11" i="40"/>
  <c r="AA11" i="40" s="1"/>
  <c r="H11" i="40"/>
  <c r="AB11" i="40" s="1"/>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J23" i="34"/>
  <c r="W23" i="34" s="1"/>
  <c r="F19" i="34"/>
  <c r="S19" i="34" s="1"/>
  <c r="F15" i="34"/>
  <c r="AA15" i="34" s="1"/>
  <c r="J15" i="34"/>
  <c r="W15" i="34" s="1"/>
  <c r="H15" i="34"/>
  <c r="AB15" i="34" s="1"/>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H37" i="33"/>
  <c r="AB37" i="33" s="1"/>
  <c r="H15" i="33"/>
  <c r="AB15" i="33" s="1"/>
  <c r="H11" i="33"/>
  <c r="AB11" i="33" s="1"/>
  <c r="F28" i="40"/>
  <c r="AA28" i="40" s="1"/>
  <c r="AC38" i="34"/>
  <c r="J37" i="34"/>
  <c r="AC37" i="34" s="1"/>
  <c r="J11" i="33"/>
  <c r="W11" i="33" s="1"/>
  <c r="J42" i="21"/>
  <c r="AC42" i="21" s="1"/>
  <c r="H42" i="21"/>
  <c r="U42" i="21" s="1"/>
  <c r="J44" i="34"/>
  <c r="AC44" i="34" s="1"/>
  <c r="F44" i="34"/>
  <c r="AA44" i="34" s="1"/>
  <c r="J10" i="35"/>
  <c r="AC10" i="35" s="1"/>
  <c r="J14" i="21"/>
  <c r="W14" i="21" s="1"/>
  <c r="F14" i="21"/>
  <c r="S14" i="21" s="1"/>
  <c r="H14" i="21"/>
  <c r="U14" i="21"/>
  <c r="H28" i="21"/>
  <c r="AB28" i="21" s="1"/>
  <c r="F28" i="21"/>
  <c r="AA28" i="21" s="1"/>
  <c r="J28" i="2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U29" i="33"/>
  <c r="F29" i="33"/>
  <c r="S29" i="33" s="1"/>
  <c r="J31" i="33"/>
  <c r="H31" i="33"/>
  <c r="F31" i="33"/>
  <c r="H45" i="33"/>
  <c r="U45" i="33" s="1"/>
  <c r="J45" i="33"/>
  <c r="F45" i="33"/>
  <c r="AA45" i="33" s="1"/>
  <c r="H14" i="34"/>
  <c r="U14" i="34" s="1"/>
  <c r="H30" i="34"/>
  <c r="AB30" i="34" s="1"/>
  <c r="F30" i="34"/>
  <c r="S30" i="34"/>
  <c r="J30" i="34"/>
  <c r="J32" i="34"/>
  <c r="W32" i="34" s="1"/>
  <c r="H46" i="34"/>
  <c r="F46" i="34"/>
  <c r="J46" i="34"/>
  <c r="AC46" i="34" s="1"/>
  <c r="H11" i="35"/>
  <c r="AB11" i="35" s="1"/>
  <c r="J11" i="35"/>
  <c r="W11" i="35" s="1"/>
  <c r="F11" i="35"/>
  <c r="S11" i="35" s="1"/>
  <c r="J26" i="36"/>
  <c r="W26" i="36" s="1"/>
  <c r="H28" i="36"/>
  <c r="U28" i="36" s="1"/>
  <c r="H32" i="36"/>
  <c r="AB32" i="36" s="1"/>
  <c r="J32" i="36"/>
  <c r="W32" i="36" s="1"/>
  <c r="F11" i="36"/>
  <c r="H13" i="36"/>
  <c r="AB13" i="36" s="1"/>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W29" i="34" s="1"/>
  <c r="F29" i="34"/>
  <c r="S29" i="34" s="1"/>
  <c r="H29" i="34"/>
  <c r="AB29" i="34" s="1"/>
  <c r="J31" i="34"/>
  <c r="AC31" i="34" s="1"/>
  <c r="H31" i="34"/>
  <c r="F31" i="34"/>
  <c r="S31"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H25" i="36"/>
  <c r="AB25" i="36" s="1"/>
  <c r="J13" i="37"/>
  <c r="W13" i="37" s="1"/>
  <c r="F28" i="37"/>
  <c r="AA28" i="37" s="1"/>
  <c r="J28" i="37"/>
  <c r="AC28" i="37"/>
  <c r="H28" i="37"/>
  <c r="H38" i="37"/>
  <c r="AB38" i="37" s="1"/>
  <c r="J38" i="37"/>
  <c r="AC38" i="37" s="1"/>
  <c r="F38" i="37"/>
  <c r="S38" i="37" s="1"/>
  <c r="F43" i="39"/>
  <c r="AA43" i="39" s="1"/>
  <c r="H43" i="39"/>
  <c r="J14" i="39"/>
  <c r="AC14" i="39" s="1"/>
  <c r="F12" i="40"/>
  <c r="S12" i="40" s="1"/>
  <c r="H12" i="40"/>
  <c r="AB12" i="40"/>
  <c r="H30" i="40"/>
  <c r="AB30" i="40" s="1"/>
  <c r="F33" i="40"/>
  <c r="AA33" i="40"/>
  <c r="H33" i="40"/>
  <c r="J35" i="40"/>
  <c r="AC35" i="40"/>
  <c r="J37" i="40"/>
  <c r="AC37" i="40" s="1"/>
  <c r="U13" i="40"/>
  <c r="J13" i="40"/>
  <c r="W13" i="40" s="1"/>
  <c r="F14" i="37"/>
  <c r="S14" i="37" s="1"/>
  <c r="F27" i="37"/>
  <c r="AA27" i="37"/>
  <c r="F13" i="39"/>
  <c r="J13" i="39"/>
  <c r="W13" i="39" s="1"/>
  <c r="H13" i="39"/>
  <c r="H14" i="40"/>
  <c r="U14" i="40" s="1"/>
  <c r="AB14" i="40"/>
  <c r="J14" i="40"/>
  <c r="W14" i="40" s="1"/>
  <c r="F14" i="40"/>
  <c r="AA14" i="40"/>
  <c r="J14" i="37"/>
  <c r="J27" i="37"/>
  <c r="AC27" i="37" s="1"/>
  <c r="AA14" i="33"/>
  <c r="J36" i="37"/>
  <c r="AC36" i="37"/>
  <c r="J10" i="36"/>
  <c r="AC10" i="36" s="1"/>
  <c r="AB30" i="21"/>
  <c r="AA14" i="37"/>
  <c r="S45" i="33"/>
  <c r="AB45" i="33"/>
  <c r="BA586" i="3"/>
  <c r="BA585" i="3"/>
  <c r="F17" i="21"/>
  <c r="AA17" i="21" s="1"/>
  <c r="H17" i="21"/>
  <c r="AB17" i="21" s="1"/>
  <c r="F15" i="21"/>
  <c r="S15" i="21" s="1"/>
  <c r="J41" i="39"/>
  <c r="W41" i="39" s="1"/>
  <c r="U36" i="39"/>
  <c r="S35" i="39"/>
  <c r="G544" i="3"/>
  <c r="G536" i="3"/>
  <c r="G535"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2" i="3"/>
  <c r="BL538" i="3"/>
  <c r="AZ538" i="3" s="1"/>
  <c r="BL530" i="3"/>
  <c r="BL526" i="3"/>
  <c r="BL522" i="3"/>
  <c r="BL516" i="3"/>
  <c r="BL512" i="3"/>
  <c r="BL506" i="3"/>
  <c r="BL502" i="3"/>
  <c r="AZ502" i="3" s="1"/>
  <c r="BL498" i="3"/>
  <c r="BL494" i="3"/>
  <c r="BL582" i="3"/>
  <c r="BL578" i="3"/>
  <c r="BL574" i="3"/>
  <c r="BL570" i="3"/>
  <c r="BL566" i="3"/>
  <c r="BL562" i="3"/>
  <c r="BL556" i="3"/>
  <c r="BL544" i="3"/>
  <c r="BL540" i="3"/>
  <c r="AZ540" i="3" s="1"/>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AZ552" i="3"/>
  <c r="BA548" i="3"/>
  <c r="AZ544" i="3"/>
  <c r="BA542" i="3"/>
  <c r="BA538" i="3"/>
  <c r="BA534" i="3"/>
  <c r="AZ534" i="3" s="1"/>
  <c r="BA530" i="3"/>
  <c r="AZ530" i="3" s="1"/>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49" i="3"/>
  <c r="BA547" i="3"/>
  <c r="BA541" i="3"/>
  <c r="BA539"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3" i="3"/>
  <c r="G549" i="3"/>
  <c r="G545" i="3"/>
  <c r="G543" i="3"/>
  <c r="G541" i="3"/>
  <c r="G537" i="3"/>
  <c r="BQ555" i="3"/>
  <c r="BL555" i="3"/>
  <c r="BQ553" i="3"/>
  <c r="BQ551" i="3"/>
  <c r="BL551" i="3" s="1"/>
  <c r="BQ549" i="3"/>
  <c r="BQ547" i="3"/>
  <c r="BQ545" i="3"/>
  <c r="BL545" i="3" s="1"/>
  <c r="BQ543" i="3"/>
  <c r="BQ541" i="3"/>
  <c r="BL541" i="3" s="1"/>
  <c r="AZ541" i="3" s="1"/>
  <c r="BQ539" i="3"/>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AZ508" i="3"/>
  <c r="G507" i="3"/>
  <c r="G505" i="3"/>
  <c r="G503" i="3"/>
  <c r="G501" i="3"/>
  <c r="G499" i="3"/>
  <c r="G497" i="3"/>
  <c r="G495" i="3"/>
  <c r="BQ507" i="3"/>
  <c r="BQ505" i="3"/>
  <c r="BL505" i="3" s="1"/>
  <c r="BQ503" i="3"/>
  <c r="BL503" i="3" s="1"/>
  <c r="AZ503" i="3"/>
  <c r="BQ501" i="3"/>
  <c r="BL501" i="3" s="1"/>
  <c r="BQ499" i="3"/>
  <c r="BL499" i="3"/>
  <c r="BQ497" i="3"/>
  <c r="BL497" i="3" s="1"/>
  <c r="BQ495" i="3"/>
  <c r="BL495" i="3"/>
  <c r="BQ493" i="3"/>
  <c r="BL493" i="3" s="1"/>
  <c r="AZ493" i="3" s="1"/>
  <c r="S505"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U39" i="37"/>
  <c r="U26" i="37"/>
  <c r="AA13" i="33"/>
  <c r="W44" i="33"/>
  <c r="U11" i="33"/>
  <c r="U19" i="21"/>
  <c r="W44"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AZ171" i="3"/>
  <c r="BL172" i="3"/>
  <c r="G173" i="3"/>
  <c r="BA175" i="3"/>
  <c r="AZ175" i="3"/>
  <c r="BL176" i="3"/>
  <c r="AZ176" i="3" s="1"/>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184"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6" i="3"/>
  <c r="AZ500"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33" i="3"/>
  <c r="AZ249" i="3"/>
  <c r="BA379" i="3"/>
  <c r="AZ379" i="3" s="1"/>
  <c r="BL380" i="3"/>
  <c r="G381" i="3"/>
  <c r="BA383" i="3"/>
  <c r="AZ383" i="3" s="1"/>
  <c r="BL384" i="3"/>
  <c r="G385" i="3"/>
  <c r="BA387" i="3"/>
  <c r="BL388" i="3"/>
  <c r="G389" i="3"/>
  <c r="BA391" i="3"/>
  <c r="AZ391" i="3" s="1"/>
  <c r="BL392" i="3"/>
  <c r="AZ392" i="3" s="1"/>
  <c r="G393" i="3"/>
  <c r="AZ275" i="3"/>
  <c r="BJ5" i="3"/>
  <c r="BH5" i="3"/>
  <c r="BD5" i="3"/>
  <c r="AZ341" i="3"/>
  <c r="AC5" i="3"/>
  <c r="AZ506" i="3"/>
  <c r="AZ496" i="3"/>
  <c r="G548" i="3"/>
  <c r="G538" i="3"/>
  <c r="G520" i="3"/>
  <c r="G502" i="3"/>
  <c r="BS5" i="3"/>
  <c r="G17" i="3"/>
  <c r="BA17" i="3"/>
  <c r="AZ350" i="3"/>
  <c r="AZ356" i="3"/>
  <c r="BA15" i="3"/>
  <c r="BR5" i="3"/>
  <c r="AZ380" i="3"/>
  <c r="AZ499" i="3"/>
  <c r="AZ509" i="3"/>
  <c r="G509" i="3"/>
  <c r="U36" i="40"/>
  <c r="F83" i="43"/>
  <c r="H85" i="43" s="1"/>
  <c r="F50" i="43"/>
  <c r="H54" i="43" s="1"/>
  <c r="F72" i="43"/>
  <c r="H75" i="43" s="1"/>
  <c r="U17" i="39"/>
  <c r="S14" i="35"/>
  <c r="U43" i="21"/>
  <c r="U35" i="21"/>
  <c r="AC35" i="21"/>
  <c r="G8" i="1"/>
  <c r="G10" i="1"/>
  <c r="AC11" i="39"/>
  <c r="AZ501" i="3"/>
  <c r="W37" i="37"/>
  <c r="W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35" i="3"/>
  <c r="AZ251"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C27" i="34"/>
  <c r="AB34" i="36"/>
  <c r="U34" i="36"/>
  <c r="AB33" i="36"/>
  <c r="U33" i="36"/>
  <c r="AC12" i="39"/>
  <c r="W12" i="39"/>
  <c r="AZ465" i="3"/>
  <c r="AA32" i="36"/>
  <c r="S32" i="36"/>
  <c r="U30" i="33"/>
  <c r="AC13" i="34"/>
  <c r="W28" i="37"/>
  <c r="S19" i="39"/>
  <c r="F12" i="33"/>
  <c r="H12" i="39"/>
  <c r="AB12" i="39"/>
  <c r="F39" i="40"/>
  <c r="AA39" i="40" s="1"/>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U43" i="34"/>
  <c r="AC42"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9"/>
  <c r="W23" i="40"/>
  <c r="U32" i="40"/>
  <c r="AB31" i="40"/>
  <c r="S37" i="40"/>
  <c r="AB28" i="40"/>
  <c r="W28" i="40"/>
  <c r="W34" i="40"/>
  <c r="W19" i="40"/>
  <c r="S36" i="40"/>
  <c r="W37" i="40"/>
  <c r="AC14"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W19" i="34"/>
  <c r="AA31" i="34"/>
  <c r="AA30" i="34"/>
  <c r="AB47" i="34"/>
  <c r="U25" i="34"/>
  <c r="AC29" i="34"/>
  <c r="W46" i="34"/>
  <c r="U30" i="34"/>
  <c r="S37" i="34"/>
  <c r="U38" i="34"/>
  <c r="AC40" i="34"/>
  <c r="W40" i="34"/>
  <c r="AA19" i="34"/>
  <c r="S46" i="34"/>
  <c r="AA46" i="34"/>
  <c r="AB14" i="34"/>
  <c r="W43" i="34"/>
  <c r="AC23" i="34"/>
  <c r="AC35" i="34"/>
  <c r="U12" i="34"/>
  <c r="AC37" i="33"/>
  <c r="W46" i="33"/>
  <c r="U39" i="33"/>
  <c r="U38" i="33"/>
  <c r="S33" i="33"/>
  <c r="U44" i="33"/>
  <c r="AB44" i="33"/>
  <c r="S30" i="33"/>
  <c r="AA30" i="33"/>
  <c r="AC14" i="33"/>
  <c r="W14" i="33"/>
  <c r="AC30" i="33"/>
  <c r="W30" i="33"/>
  <c r="S31" i="33"/>
  <c r="AA31" i="33"/>
  <c r="W13"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A21" i="39"/>
  <c r="S21" i="39"/>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E12" i="76"/>
  <c r="AO13" i="1"/>
  <c r="F3" i="73"/>
  <c r="E2" i="69"/>
  <c r="B8" i="76"/>
  <c r="B11" i="76"/>
  <c r="E11" i="76"/>
  <c r="F7" i="73"/>
  <c r="E10" i="76"/>
  <c r="E8" i="76"/>
  <c r="F4" i="73"/>
  <c r="B7" i="76"/>
  <c r="B13" i="76"/>
  <c r="E9" i="76"/>
  <c r="E13" i="76"/>
  <c r="F6" i="73"/>
  <c r="E7" i="76"/>
  <c r="E2" i="68"/>
  <c r="F20" i="31"/>
  <c r="B12" i="76"/>
  <c r="F5" i="73"/>
  <c r="D6" i="73"/>
  <c r="B10" i="76"/>
  <c r="J41" i="34" l="1"/>
  <c r="AC41" i="34" s="1"/>
  <c r="H41" i="34"/>
  <c r="F41" i="34"/>
  <c r="AA41" i="34" s="1"/>
  <c r="AB8" i="34"/>
  <c r="S36" i="34"/>
  <c r="S23" i="34"/>
  <c r="J17" i="34"/>
  <c r="W17" i="34" s="1"/>
  <c r="F17" i="34"/>
  <c r="AA17" i="34" s="1"/>
  <c r="H17" i="34"/>
  <c r="AB36" i="34"/>
  <c r="AB35" i="34"/>
  <c r="AC36" i="34"/>
  <c r="AC14" i="34"/>
  <c r="F14" i="34"/>
  <c r="S14" i="34" s="1"/>
  <c r="AB32" i="34"/>
  <c r="U32" i="34"/>
  <c r="U29" i="34"/>
  <c r="AA25" i="34"/>
  <c r="F32" i="34"/>
  <c r="AC32" i="34"/>
  <c r="AC39" i="34"/>
  <c r="AC17" i="34"/>
  <c r="W31" i="34"/>
  <c r="W47" i="34"/>
  <c r="AB33" i="34"/>
  <c r="U34" i="34"/>
  <c r="J45" i="34"/>
  <c r="AB45" i="34"/>
  <c r="AA45" i="34"/>
  <c r="W33" i="34"/>
  <c r="U19" i="34"/>
  <c r="S17" i="34"/>
  <c r="W8" i="34"/>
  <c r="U9" i="34"/>
  <c r="W9" i="34"/>
  <c r="AA14" i="34"/>
  <c r="AA40" i="34"/>
  <c r="AA33" i="34"/>
  <c r="AA47" i="34"/>
  <c r="S44" i="34"/>
  <c r="AC15" i="34"/>
  <c r="U15" i="34"/>
  <c r="S8" i="34"/>
  <c r="C40" i="11"/>
  <c r="G1" i="15"/>
  <c r="K7" i="1"/>
  <c r="M7" i="1" s="1"/>
  <c r="O7" i="1" s="1"/>
  <c r="P7" i="1" s="1"/>
  <c r="K1" i="12"/>
  <c r="G1" i="67"/>
  <c r="G1" i="68"/>
  <c r="H5" i="3"/>
  <c r="G13" i="3"/>
  <c r="BC5" i="3"/>
  <c r="BK5" i="3"/>
  <c r="BG5" i="3"/>
  <c r="G29" i="6"/>
  <c r="BI5" i="3"/>
  <c r="BM5" i="3"/>
  <c r="F29" i="6" s="1"/>
  <c r="E29" i="6" s="1"/>
  <c r="K15" i="1" s="1"/>
  <c r="BL16" i="3"/>
  <c r="AZ16" i="3" s="1"/>
  <c r="BE5" i="3"/>
  <c r="BL14" i="3"/>
  <c r="C29" i="39"/>
  <c r="B68" i="43"/>
  <c r="B67" i="43"/>
  <c r="B56" i="43"/>
  <c r="B57" i="43"/>
  <c r="AA15" i="37"/>
  <c r="AZ522" i="3"/>
  <c r="AZ558" i="3"/>
  <c r="AZ566" i="3"/>
  <c r="AZ582" i="3"/>
  <c r="AA11" i="36"/>
  <c r="S11" i="36"/>
  <c r="AZ546" i="3"/>
  <c r="AZ537" i="3"/>
  <c r="AZ536" i="3"/>
  <c r="AZ532" i="3"/>
  <c r="U23" i="21"/>
  <c r="AZ345" i="3"/>
  <c r="AZ334" i="3"/>
  <c r="AZ376" i="3"/>
  <c r="W12" i="37"/>
  <c r="AC12" i="37"/>
  <c r="AZ513" i="3"/>
  <c r="AZ542" i="3"/>
  <c r="AA44" i="33"/>
  <c r="U33" i="40"/>
  <c r="AB33" i="40"/>
  <c r="U26" i="33"/>
  <c r="AB26" i="33"/>
  <c r="W28" i="21"/>
  <c r="AC28" i="21"/>
  <c r="U17" i="34"/>
  <c r="AB17" i="34"/>
  <c r="AA17" i="33"/>
  <c r="AC27" i="33"/>
  <c r="AC23" i="37"/>
  <c r="AC9" i="21"/>
  <c r="U9" i="21"/>
  <c r="D6" i="52"/>
  <c r="AB27" i="33"/>
  <c r="AA23" i="37"/>
  <c r="S17" i="37"/>
  <c r="U21" i="39"/>
  <c r="AZ387" i="3"/>
  <c r="AZ338" i="3"/>
  <c r="AZ318" i="3"/>
  <c r="AZ337" i="3"/>
  <c r="U46" i="34"/>
  <c r="AB46" i="34"/>
  <c r="W45" i="33"/>
  <c r="AC45" i="33"/>
  <c r="W31" i="33"/>
  <c r="AC31" i="33"/>
  <c r="S29" i="35"/>
  <c r="AA29" i="35"/>
  <c r="W27" i="40"/>
  <c r="S13" i="21"/>
  <c r="AA19" i="37"/>
  <c r="AC17" i="37"/>
  <c r="W30" i="40"/>
  <c r="AB34" i="33"/>
  <c r="AB35" i="37"/>
  <c r="S43" i="34"/>
  <c r="U32" i="37"/>
  <c r="AZ14" i="3"/>
  <c r="AZ389" i="3"/>
  <c r="AZ372" i="3"/>
  <c r="AZ320" i="3"/>
  <c r="AZ306" i="3"/>
  <c r="AZ505" i="3"/>
  <c r="AZ577" i="3"/>
  <c r="AZ309" i="3"/>
  <c r="AZ549" i="3"/>
  <c r="H27" i="34"/>
  <c r="AZ515" i="3"/>
  <c r="AZ523" i="3"/>
  <c r="AZ533" i="3"/>
  <c r="BL547" i="3"/>
  <c r="AZ547" i="3" s="1"/>
  <c r="AZ561" i="3"/>
  <c r="AZ569" i="3"/>
  <c r="AZ571" i="3"/>
  <c r="AZ579" i="3"/>
  <c r="AZ524" i="3"/>
  <c r="W44" i="39"/>
  <c r="F13" i="40"/>
  <c r="H14" i="39"/>
  <c r="F13" i="37"/>
  <c r="H11" i="36"/>
  <c r="U11" i="36" s="1"/>
  <c r="AC11" i="35"/>
  <c r="S42" i="34"/>
  <c r="AA41" i="33"/>
  <c r="S41" i="33"/>
  <c r="U34" i="21"/>
  <c r="AA41" i="21"/>
  <c r="BL587" i="3"/>
  <c r="AZ587" i="3" s="1"/>
  <c r="BL586" i="3"/>
  <c r="AZ586" i="3" s="1"/>
  <c r="J45" i="21"/>
  <c r="F45" i="21"/>
  <c r="F28" i="34"/>
  <c r="J28" i="34"/>
  <c r="U12" i="35"/>
  <c r="AB12" i="35"/>
  <c r="J12" i="33"/>
  <c r="AC8" i="40"/>
  <c r="W8" i="40"/>
  <c r="J39" i="40"/>
  <c r="H39" i="40"/>
  <c r="G556" i="3"/>
  <c r="AZ390" i="3"/>
  <c r="AZ371" i="3"/>
  <c r="AZ351" i="3"/>
  <c r="AZ336" i="3"/>
  <c r="AZ305" i="3"/>
  <c r="AZ360" i="3"/>
  <c r="BL539" i="3"/>
  <c r="AZ539" i="3" s="1"/>
  <c r="BL543" i="3"/>
  <c r="AZ543" i="3" s="1"/>
  <c r="BL553" i="3"/>
  <c r="AZ553" i="3" s="1"/>
  <c r="AZ529" i="3"/>
  <c r="AZ518" i="3"/>
  <c r="AZ526" i="3"/>
  <c r="AZ564" i="3"/>
  <c r="AZ580" i="3"/>
  <c r="U23" i="34"/>
  <c r="AB23" i="34"/>
  <c r="W33" i="33"/>
  <c r="AB33" i="33"/>
  <c r="U33" i="33"/>
  <c r="J9" i="33"/>
  <c r="H9" i="33"/>
  <c r="H28" i="33"/>
  <c r="J28" i="33"/>
  <c r="H45" i="39"/>
  <c r="J45" i="39"/>
  <c r="W45" i="39" s="1"/>
  <c r="B101" i="43"/>
  <c r="B79" i="43"/>
  <c r="AA35" i="34"/>
  <c r="S35" i="34"/>
  <c r="U12" i="36"/>
  <c r="S38" i="34"/>
  <c r="W31" i="35"/>
  <c r="AC31" i="35"/>
  <c r="AC40" i="33"/>
  <c r="W40" i="33"/>
  <c r="J23" i="35"/>
  <c r="H23" i="35"/>
  <c r="AC22" i="35"/>
  <c r="W22" i="35"/>
  <c r="H23" i="36"/>
  <c r="J23" i="36"/>
  <c r="AA40" i="39"/>
  <c r="S40" i="39"/>
  <c r="F38" i="40"/>
  <c r="H38" i="40"/>
  <c r="BA551" i="3"/>
  <c r="AZ551" i="3" s="1"/>
  <c r="BA550" i="3"/>
  <c r="BL548" i="3"/>
  <c r="AZ548" i="3" s="1"/>
  <c r="BL15" i="3"/>
  <c r="AZ15" i="3" s="1"/>
  <c r="BA398" i="3"/>
  <c r="AZ398" i="3" s="1"/>
  <c r="BA399" i="3"/>
  <c r="AZ399" i="3" s="1"/>
  <c r="BL401" i="3"/>
  <c r="AZ401" i="3" s="1"/>
  <c r="BL404" i="3"/>
  <c r="BL405" i="3"/>
  <c r="AZ405" i="3" s="1"/>
  <c r="BL407" i="3"/>
  <c r="BA412" i="3"/>
  <c r="AZ412" i="3" s="1"/>
  <c r="BA414" i="3"/>
  <c r="BA415" i="3"/>
  <c r="BA416" i="3"/>
  <c r="AZ416" i="3" s="1"/>
  <c r="BA418" i="3"/>
  <c r="BA421" i="3"/>
  <c r="BA423" i="3"/>
  <c r="AZ423" i="3" s="1"/>
  <c r="BA425" i="3"/>
  <c r="BA426" i="3"/>
  <c r="BA427" i="3"/>
  <c r="AZ427" i="3" s="1"/>
  <c r="G434" i="3"/>
  <c r="BA436" i="3"/>
  <c r="BA444" i="3"/>
  <c r="AZ404" i="3"/>
  <c r="AZ407" i="3"/>
  <c r="AZ419" i="3"/>
  <c r="AZ422" i="3"/>
  <c r="AZ462" i="3"/>
  <c r="BL585" i="3"/>
  <c r="AZ585" i="3" s="1"/>
  <c r="B75" i="43"/>
  <c r="G558" i="3"/>
  <c r="G399" i="3"/>
  <c r="BL400" i="3"/>
  <c r="AZ400" i="3" s="1"/>
  <c r="BL408" i="3"/>
  <c r="BL411" i="3"/>
  <c r="BL413" i="3"/>
  <c r="AZ413" i="3" s="1"/>
  <c r="G416" i="3"/>
  <c r="BL417" i="3"/>
  <c r="BL418" i="3"/>
  <c r="BL420" i="3"/>
  <c r="G423" i="3"/>
  <c r="BL424" i="3"/>
  <c r="G427" i="3"/>
  <c r="BL428" i="3"/>
  <c r="BL429" i="3"/>
  <c r="BA432" i="3"/>
  <c r="AZ432" i="3" s="1"/>
  <c r="BA438" i="3"/>
  <c r="G443" i="3"/>
  <c r="AZ458" i="3"/>
  <c r="G551" i="3"/>
  <c r="BL550" i="3"/>
  <c r="G542" i="3"/>
  <c r="BL398" i="3"/>
  <c r="G402" i="3"/>
  <c r="BL403" i="3"/>
  <c r="AZ403" i="3" s="1"/>
  <c r="G405" i="3"/>
  <c r="G406" i="3"/>
  <c r="BA408" i="3"/>
  <c r="AZ408" i="3" s="1"/>
  <c r="BA409" i="3"/>
  <c r="AZ409" i="3" s="1"/>
  <c r="BA411" i="3"/>
  <c r="AZ411" i="3" s="1"/>
  <c r="BL414" i="3"/>
  <c r="BL415" i="3"/>
  <c r="BA417" i="3"/>
  <c r="BL421" i="3"/>
  <c r="BL422" i="3"/>
  <c r="BL425" i="3"/>
  <c r="BL426" i="3"/>
  <c r="BA428" i="3"/>
  <c r="AZ428" i="3" s="1"/>
  <c r="BA429" i="3"/>
  <c r="AZ429" i="3" s="1"/>
  <c r="BA430" i="3"/>
  <c r="AZ430" i="3" s="1"/>
  <c r="BA433" i="3"/>
  <c r="AZ433" i="3" s="1"/>
  <c r="G435" i="3"/>
  <c r="BL435" i="3"/>
  <c r="AZ435" i="3" s="1"/>
  <c r="BL436" i="3"/>
  <c r="BA445"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88" i="3"/>
  <c r="AZ388" i="3" s="1"/>
  <c r="BA396" i="3"/>
  <c r="BA209" i="3"/>
  <c r="BA218" i="3"/>
  <c r="AZ218" i="3" s="1"/>
  <c r="BL218" i="3"/>
  <c r="BL222" i="3"/>
  <c r="BL223" i="3"/>
  <c r="G224" i="3"/>
  <c r="BA229" i="3"/>
  <c r="BL229" i="3"/>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A217" i="3"/>
  <c r="AZ217"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BA225" i="3"/>
  <c r="BA227" i="3"/>
  <c r="AZ227" i="3" s="1"/>
  <c r="BL230"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BA19" i="3"/>
  <c r="AZ19" i="3" s="1"/>
  <c r="AZ52" i="3"/>
  <c r="BA53" i="3"/>
  <c r="BA54"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A22" i="3"/>
  <c r="BA25" i="3"/>
  <c r="BA31" i="3"/>
  <c r="G37" i="3"/>
  <c r="BL55" i="3"/>
  <c r="AZ55" i="3" s="1"/>
  <c r="G58" i="3"/>
  <c r="BA59" i="3"/>
  <c r="BL61" i="3"/>
  <c r="G64" i="3"/>
  <c r="BA64" i="3"/>
  <c r="BA68" i="3"/>
  <c r="C55" i="71"/>
  <c r="D54" i="71"/>
  <c r="N67" i="71"/>
  <c r="B66" i="71"/>
  <c r="F66" i="71"/>
  <c r="Q67" i="71"/>
  <c r="V24" i="71"/>
  <c r="E23" i="71"/>
  <c r="E22" i="71" s="1"/>
  <c r="E21" i="71" s="1"/>
  <c r="E20" i="71"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L25" i="3"/>
  <c r="BL27" i="3"/>
  <c r="BA28" i="3"/>
  <c r="AZ28" i="3" s="1"/>
  <c r="BL30" i="3"/>
  <c r="BL31" i="3"/>
  <c r="BA40" i="3"/>
  <c r="G47" i="3"/>
  <c r="BL48" i="3"/>
  <c r="BA51" i="3"/>
  <c r="G55" i="3"/>
  <c r="BL56" i="3"/>
  <c r="BA58" i="3"/>
  <c r="BL59" i="3"/>
  <c r="BL60" i="3"/>
  <c r="BA61" i="3"/>
  <c r="AZ61" i="3" s="1"/>
  <c r="BL69" i="3"/>
  <c r="AZ69" i="3" s="1"/>
  <c r="G71" i="3"/>
  <c r="BL74" i="3"/>
  <c r="BA77" i="3"/>
  <c r="BL79" i="3"/>
  <c r="BL93" i="3"/>
  <c r="D31" i="71"/>
  <c r="C32" i="71"/>
  <c r="AZ301" i="3"/>
  <c r="BA144" i="3"/>
  <c r="AZ144" i="3" s="1"/>
  <c r="BA153" i="3"/>
  <c r="BL155" i="3"/>
  <c r="AZ155" i="3" s="1"/>
  <c r="BA164" i="3"/>
  <c r="AZ164" i="3" s="1"/>
  <c r="G27" i="3"/>
  <c r="BA27" i="3"/>
  <c r="BA33" i="3"/>
  <c r="BA36" i="3"/>
  <c r="BL38" i="3"/>
  <c r="AZ38" i="3" s="1"/>
  <c r="BA39" i="3"/>
  <c r="BA41" i="3"/>
  <c r="AZ41" i="3" s="1"/>
  <c r="BA42" i="3"/>
  <c r="BL45" i="3"/>
  <c r="BA48" i="3"/>
  <c r="BA49" i="3"/>
  <c r="BL64" i="3"/>
  <c r="G65" i="3"/>
  <c r="BL65" i="3"/>
  <c r="AZ65" i="3" s="1"/>
  <c r="BL66" i="3"/>
  <c r="BL67" i="3"/>
  <c r="AZ67" i="3" s="1"/>
  <c r="G69" i="3"/>
  <c r="C44" i="71"/>
  <c r="D43" i="71"/>
  <c r="C52" i="71"/>
  <c r="D51" i="71"/>
  <c r="BL73" i="3"/>
  <c r="BA74" i="3"/>
  <c r="BA75" i="3"/>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AA28" i="71"/>
  <c r="AB27" i="71"/>
  <c r="E75" i="71"/>
  <c r="E74" i="71" s="1"/>
  <c r="AB25" i="71"/>
  <c r="X26" i="71"/>
  <c r="Y25" i="71"/>
  <c r="Z25" i="71" s="1"/>
  <c r="X38" i="71"/>
  <c r="C35" i="71"/>
  <c r="Y29" i="71"/>
  <c r="Z29" i="71" s="1"/>
  <c r="AB32" i="71"/>
  <c r="X33" i="71"/>
  <c r="AZ103" i="3"/>
  <c r="P66" i="71"/>
  <c r="AA27" i="71"/>
  <c r="AB26" i="71"/>
  <c r="C83" i="71"/>
  <c r="C79" i="71"/>
  <c r="C71" i="71"/>
  <c r="C39" i="71"/>
  <c r="X25" i="71"/>
  <c r="Y28" i="71"/>
  <c r="Z28" i="71" s="1"/>
  <c r="C28" i="71"/>
  <c r="Y37" i="71"/>
  <c r="Z37" i="71" s="1"/>
  <c r="X35" i="71"/>
  <c r="AA37" i="71"/>
  <c r="Y30" i="71"/>
  <c r="Z30" i="71" s="1"/>
  <c r="X28" i="71"/>
  <c r="X32" i="71"/>
  <c r="AA39" i="71"/>
  <c r="F75" i="71"/>
  <c r="F74" i="71" s="1"/>
  <c r="BL21" i="3"/>
  <c r="G23" i="3"/>
  <c r="G29" i="3"/>
  <c r="BL29" i="3"/>
  <c r="AZ29" i="3" s="1"/>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S21" i="34"/>
  <c r="B88" i="43"/>
  <c r="G70" i="3"/>
  <c r="BL70" i="3"/>
  <c r="AZ70" i="3" s="1"/>
  <c r="BL71" i="3"/>
  <c r="BL72" i="3"/>
  <c r="AZ72" i="3" s="1"/>
  <c r="G74" i="3"/>
  <c r="G75" i="3"/>
  <c r="BL75" i="3"/>
  <c r="G79"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M28" i="15"/>
  <c r="F40" i="67"/>
  <c r="M23" i="67"/>
  <c r="M26" i="15"/>
  <c r="L48" i="15"/>
  <c r="M8" i="67"/>
  <c r="M8" i="15"/>
  <c r="F37" i="15"/>
  <c r="M22" i="67"/>
  <c r="M6" i="15"/>
  <c r="M29" i="67"/>
  <c r="M6" i="67"/>
  <c r="M29" i="15"/>
  <c r="F43" i="67"/>
  <c r="F38" i="15"/>
  <c r="F6" i="67"/>
  <c r="C76" i="67"/>
  <c r="M22" i="15"/>
  <c r="F37" i="67"/>
  <c r="L48" i="67"/>
  <c r="F16" i="15"/>
  <c r="F40" i="15"/>
  <c r="J15" i="67"/>
  <c r="F42" i="15"/>
  <c r="F13" i="67"/>
  <c r="F13" i="15"/>
  <c r="F36" i="67"/>
  <c r="M23" i="15"/>
  <c r="F6" i="15"/>
  <c r="F9" i="67"/>
  <c r="D3" i="73"/>
  <c r="L47" i="15"/>
  <c r="F42" i="67"/>
  <c r="M9" i="67"/>
  <c r="M24" i="15"/>
  <c r="F43" i="15"/>
  <c r="D4" i="73"/>
  <c r="F9" i="15"/>
  <c r="F26" i="67"/>
  <c r="F38" i="67"/>
  <c r="D5" i="73"/>
  <c r="F26" i="15"/>
  <c r="M24" i="67"/>
  <c r="M28" i="67"/>
  <c r="D7" i="73"/>
  <c r="J15" i="15"/>
  <c r="F7" i="67"/>
  <c r="F36" i="15"/>
  <c r="F16" i="67"/>
  <c r="M26" i="67"/>
  <c r="F7" i="15"/>
  <c r="L47" i="67"/>
  <c r="F8" i="15"/>
  <c r="M9" i="15"/>
  <c r="C76" i="15"/>
  <c r="F8" i="67"/>
  <c r="W41" i="34" l="1"/>
  <c r="U41" i="34"/>
  <c r="AB41" i="34"/>
  <c r="S32" i="34"/>
  <c r="AA32" i="34"/>
  <c r="W45" i="34"/>
  <c r="AC45" i="34"/>
  <c r="Q71" i="67"/>
  <c r="F71" i="67"/>
  <c r="F51" i="67"/>
  <c r="L56" i="67"/>
  <c r="J57" i="67"/>
  <c r="J55" i="67" s="1"/>
  <c r="J58" i="67" s="1"/>
  <c r="Q50" i="67" s="1"/>
  <c r="I54" i="67"/>
  <c r="J53" i="67"/>
  <c r="F1" i="67" s="1"/>
  <c r="C27" i="67"/>
  <c r="M59" i="67"/>
  <c r="L58" i="67"/>
  <c r="Q60" i="67" s="1"/>
  <c r="N59" i="67"/>
  <c r="L59" i="67"/>
  <c r="Q61" i="67" s="1"/>
  <c r="F50" i="67"/>
  <c r="M7" i="67"/>
  <c r="J6" i="67" s="1"/>
  <c r="J18" i="67" s="1"/>
  <c r="F31" i="67"/>
  <c r="C6" i="67"/>
  <c r="F66" i="67"/>
  <c r="F68" i="67"/>
  <c r="F65" i="67"/>
  <c r="F64" i="67"/>
  <c r="J57" i="15"/>
  <c r="J55" i="15" s="1"/>
  <c r="J58" i="15" s="1"/>
  <c r="Q50" i="15" s="1"/>
  <c r="J53" i="15"/>
  <c r="L56" i="15" s="1"/>
  <c r="I54" i="15"/>
  <c r="F71" i="15"/>
  <c r="F66" i="15"/>
  <c r="F68" i="15"/>
  <c r="L59" i="15"/>
  <c r="Q61" i="15" s="1"/>
  <c r="M59" i="15"/>
  <c r="N59" i="15"/>
  <c r="L58" i="15"/>
  <c r="Q60" i="15" s="1"/>
  <c r="Q71" i="15"/>
  <c r="C27" i="15"/>
  <c r="F65" i="15"/>
  <c r="G16" i="1"/>
  <c r="F10" i="39" s="1"/>
  <c r="G26" i="43"/>
  <c r="J26" i="43"/>
  <c r="N370" i="46"/>
  <c r="H16" i="1"/>
  <c r="N94" i="46"/>
  <c r="H26" i="43"/>
  <c r="Q16" i="1"/>
  <c r="F27" i="69" s="1"/>
  <c r="F45" i="69" s="1"/>
  <c r="E28" i="6"/>
  <c r="K14" i="1" s="1"/>
  <c r="K16" i="1" s="1"/>
  <c r="E26" i="43"/>
  <c r="D26" i="43" s="1"/>
  <c r="C25" i="43" s="1"/>
  <c r="P6" i="1"/>
  <c r="C13" i="12" s="1"/>
  <c r="F31" i="15"/>
  <c r="F50" i="15"/>
  <c r="M7" i="15"/>
  <c r="J6" i="15" s="1"/>
  <c r="J18" i="15" s="1"/>
  <c r="F64" i="15"/>
  <c r="F51" i="15"/>
  <c r="C6" i="15"/>
  <c r="C40" i="71"/>
  <c r="D39" i="71"/>
  <c r="D44" i="71"/>
  <c r="T44" i="71"/>
  <c r="AZ39" i="3"/>
  <c r="AZ27" i="3"/>
  <c r="AZ137" i="3"/>
  <c r="AZ415" i="3"/>
  <c r="W28" i="33"/>
  <c r="AC28" i="33"/>
  <c r="W45" i="21"/>
  <c r="AC45" i="21"/>
  <c r="AA13" i="40"/>
  <c r="S13" i="40"/>
  <c r="J7" i="37"/>
  <c r="G5" i="3"/>
  <c r="B3" i="3" s="1"/>
  <c r="E292" i="3" s="1"/>
  <c r="T28" i="71"/>
  <c r="D28" i="71"/>
  <c r="U28" i="71" s="1"/>
  <c r="C27" i="71"/>
  <c r="C70" i="71"/>
  <c r="D70" i="71" s="1"/>
  <c r="D71" i="71"/>
  <c r="AZ51" i="3"/>
  <c r="C56" i="71"/>
  <c r="D55" i="71"/>
  <c r="AZ121" i="3"/>
  <c r="AZ274" i="3"/>
  <c r="AZ182" i="3"/>
  <c r="AZ302" i="3"/>
  <c r="AZ284" i="3"/>
  <c r="AZ277" i="3"/>
  <c r="AZ244" i="3"/>
  <c r="AZ239" i="3"/>
  <c r="AZ229" i="3"/>
  <c r="AZ421" i="3"/>
  <c r="AZ414" i="3"/>
  <c r="AB38" i="40"/>
  <c r="U38" i="40"/>
  <c r="AC23" i="36"/>
  <c r="W23" i="36"/>
  <c r="U23" i="35"/>
  <c r="AB23" i="35"/>
  <c r="U28" i="33"/>
  <c r="AB28" i="33"/>
  <c r="W28" i="34"/>
  <c r="AC28" i="34"/>
  <c r="D79" i="71"/>
  <c r="C78" i="71"/>
  <c r="D78" i="71" s="1"/>
  <c r="AZ75" i="3"/>
  <c r="T52" i="71"/>
  <c r="D52" i="71"/>
  <c r="AZ58" i="3"/>
  <c r="AZ21" i="3"/>
  <c r="N65" i="71"/>
  <c r="N66" i="71"/>
  <c r="AZ59" i="3"/>
  <c r="AZ31" i="3"/>
  <c r="AZ130" i="3"/>
  <c r="AZ444" i="3"/>
  <c r="AZ418" i="3"/>
  <c r="S38" i="40"/>
  <c r="AA38" i="40"/>
  <c r="AB23" i="36"/>
  <c r="U23" i="36"/>
  <c r="AC23" i="35"/>
  <c r="W23" i="35"/>
  <c r="AB9" i="33"/>
  <c r="U9" i="33"/>
  <c r="U39" i="40"/>
  <c r="AB39" i="40"/>
  <c r="AC12" i="33"/>
  <c r="W12" i="33"/>
  <c r="AA28" i="34"/>
  <c r="S28" i="34"/>
  <c r="S13" i="37"/>
  <c r="AA13" i="37"/>
  <c r="AZ71" i="3"/>
  <c r="D83" i="71"/>
  <c r="C82" i="71"/>
  <c r="D82" i="71" s="1"/>
  <c r="C36" i="71"/>
  <c r="D35" i="71"/>
  <c r="AZ74" i="3"/>
  <c r="AZ49" i="3"/>
  <c r="T32" i="71"/>
  <c r="D32" i="71"/>
  <c r="AZ77" i="3"/>
  <c r="AZ64" i="3"/>
  <c r="AZ25" i="3"/>
  <c r="AZ271" i="3"/>
  <c r="AZ53" i="3"/>
  <c r="AZ461" i="3"/>
  <c r="AZ368" i="3"/>
  <c r="AZ353" i="3"/>
  <c r="AZ417" i="3"/>
  <c r="AZ425" i="3"/>
  <c r="AZ550" i="3"/>
  <c r="U45" i="39"/>
  <c r="AB45" i="39"/>
  <c r="AC9" i="33"/>
  <c r="W9" i="33"/>
  <c r="W39" i="40"/>
  <c r="AC39" i="40"/>
  <c r="AA45" i="21"/>
  <c r="S45" i="21"/>
  <c r="U14" i="39"/>
  <c r="AB14" i="39"/>
  <c r="AB27" i="34"/>
  <c r="U27" i="34"/>
  <c r="K1" i="73"/>
  <c r="E527" i="3"/>
  <c r="E350" i="3"/>
  <c r="M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AE7" i="1"/>
  <c r="AE8" i="1"/>
  <c r="AE12" i="1"/>
  <c r="AE10" i="1"/>
  <c r="AE6" i="1"/>
  <c r="C16" i="15"/>
  <c r="G1" i="73"/>
  <c r="F41" i="67"/>
  <c r="C16" i="67"/>
  <c r="F59" i="67" l="1"/>
  <c r="C49" i="67"/>
  <c r="Q73" i="15"/>
  <c r="F1" i="15"/>
  <c r="J5" i="67"/>
  <c r="J24" i="67" s="1"/>
  <c r="Q73" i="67"/>
  <c r="Q52" i="15"/>
  <c r="M17" i="67"/>
  <c r="Q52" i="67"/>
  <c r="Q74" i="15"/>
  <c r="Q74" i="67"/>
  <c r="J5" i="15"/>
  <c r="J24" i="15" s="1"/>
  <c r="C29" i="69"/>
  <c r="D27" i="69" s="1"/>
  <c r="C47" i="69"/>
  <c r="D45" i="69" s="1"/>
  <c r="E377" i="3"/>
  <c r="E561" i="3"/>
  <c r="E61" i="3"/>
  <c r="E89" i="3"/>
  <c r="E295" i="3"/>
  <c r="E384" i="3"/>
  <c r="E423" i="3"/>
  <c r="E472" i="3"/>
  <c r="E271" i="3"/>
  <c r="E303" i="3"/>
  <c r="E474" i="3"/>
  <c r="E24" i="3"/>
  <c r="E248" i="3"/>
  <c r="E242" i="3"/>
  <c r="E161" i="3"/>
  <c r="E201" i="3"/>
  <c r="E70" i="3"/>
  <c r="E362" i="3"/>
  <c r="E277" i="3"/>
  <c r="E180" i="3"/>
  <c r="E143" i="3"/>
  <c r="E162" i="3"/>
  <c r="E31" i="3"/>
  <c r="E193" i="3"/>
  <c r="E130" i="3"/>
  <c r="E443" i="3"/>
  <c r="E523" i="3"/>
  <c r="E187" i="3"/>
  <c r="E365" i="3"/>
  <c r="E509" i="3"/>
  <c r="E146" i="3"/>
  <c r="E528" i="3"/>
  <c r="AS6" i="3"/>
  <c r="E314" i="3"/>
  <c r="E358" i="3"/>
  <c r="E317" i="3"/>
  <c r="E374" i="3"/>
  <c r="E392" i="3"/>
  <c r="E378" i="3"/>
  <c r="E131" i="3"/>
  <c r="AY6" i="3"/>
  <c r="E119" i="3"/>
  <c r="E563" i="3"/>
  <c r="E557" i="3"/>
  <c r="E181" i="3"/>
  <c r="E388" i="3"/>
  <c r="E150" i="3"/>
  <c r="I6" i="3"/>
  <c r="F28" i="12"/>
  <c r="C29" i="12" s="1"/>
  <c r="D28" i="12" s="1"/>
  <c r="X6" i="3"/>
  <c r="E215" i="3"/>
  <c r="E526" i="3"/>
  <c r="AO6" i="3"/>
  <c r="E577" i="3"/>
  <c r="E399" i="3"/>
  <c r="E231" i="3"/>
  <c r="E530" i="3"/>
  <c r="E478" i="3"/>
  <c r="E450" i="3"/>
  <c r="E583" i="3"/>
  <c r="E282" i="3"/>
  <c r="E481" i="3"/>
  <c r="E207" i="3"/>
  <c r="E48" i="3"/>
  <c r="L6" i="3"/>
  <c r="M14" i="1"/>
  <c r="O14" i="1" s="1"/>
  <c r="O16" i="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117" i="3"/>
  <c r="E294" i="3"/>
  <c r="E229" i="3"/>
  <c r="E366" i="3"/>
  <c r="E121" i="3"/>
  <c r="E448" i="3"/>
  <c r="E580" i="3"/>
  <c r="E177" i="3"/>
  <c r="E302" i="3"/>
  <c r="E285" i="3"/>
  <c r="E92" i="3"/>
  <c r="E14" i="3"/>
  <c r="E224" i="3"/>
  <c r="E87" i="3"/>
  <c r="E584" i="3"/>
  <c r="E446" i="3"/>
  <c r="E58" i="3"/>
  <c r="E62" i="3"/>
  <c r="E234" i="3"/>
  <c r="E276" i="3"/>
  <c r="E422" i="3"/>
  <c r="E158" i="3"/>
  <c r="E451" i="3"/>
  <c r="E249" i="3"/>
  <c r="AH6" i="3"/>
  <c r="E16" i="3"/>
  <c r="E26" i="3"/>
  <c r="E81"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60" i="3"/>
  <c r="E407" i="3"/>
  <c r="E569" i="3"/>
  <c r="E480" i="3"/>
  <c r="E404" i="3"/>
  <c r="E576" i="3"/>
  <c r="E203" i="3"/>
  <c r="E434" i="3"/>
  <c r="E304" i="3"/>
  <c r="E328" i="3"/>
  <c r="E547" i="3"/>
  <c r="E168" i="3"/>
  <c r="E136" i="3"/>
  <c r="AD6" i="3"/>
  <c r="E297" i="3"/>
  <c r="E500" i="3"/>
  <c r="E460" i="3"/>
  <c r="E340" i="3"/>
  <c r="E38" i="3"/>
  <c r="E108" i="3"/>
  <c r="E543" i="3"/>
  <c r="E35" i="3"/>
  <c r="E205" i="3"/>
  <c r="E539" i="3"/>
  <c r="E212" i="3"/>
  <c r="E517" i="3"/>
  <c r="E544" i="3"/>
  <c r="E492" i="3"/>
  <c r="E513" i="3"/>
  <c r="E383" i="3"/>
  <c r="E525" i="3"/>
  <c r="E556" i="3"/>
  <c r="E41" i="3"/>
  <c r="E190"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499" i="3"/>
  <c r="E479" i="3"/>
  <c r="E484" i="3"/>
  <c r="E33" i="3"/>
  <c r="E281" i="3"/>
  <c r="E206" i="3"/>
  <c r="E456" i="3"/>
  <c r="E13" i="3"/>
  <c r="E225" i="3"/>
  <c r="E324"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466" i="3"/>
  <c r="E152" i="3"/>
  <c r="E46" i="3"/>
  <c r="E355" i="3"/>
  <c r="E42" i="3"/>
  <c r="E113" i="3"/>
  <c r="E512" i="3"/>
  <c r="E470" i="3"/>
  <c r="E356" i="3"/>
  <c r="E342"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382" i="3"/>
  <c r="E415" i="3"/>
  <c r="E551" i="3"/>
  <c r="E239" i="3"/>
  <c r="E334" i="3"/>
  <c r="E581" i="3"/>
  <c r="E252" i="3"/>
  <c r="E429" i="3"/>
  <c r="E280" i="3"/>
  <c r="E321" i="3"/>
  <c r="E319" i="3"/>
  <c r="E411" i="3"/>
  <c r="E537" i="3"/>
  <c r="E127" i="3"/>
  <c r="E163" i="3"/>
  <c r="E149" i="3"/>
  <c r="E244" i="3"/>
  <c r="E141" i="3"/>
  <c r="E112" i="3"/>
  <c r="E473" i="3"/>
  <c r="E401" i="3"/>
  <c r="E105" i="3"/>
  <c r="E412" i="3"/>
  <c r="E96" i="3"/>
  <c r="E255" i="3"/>
  <c r="F59" i="15"/>
  <c r="C49" i="15"/>
  <c r="F27" i="11"/>
  <c r="C29" i="11" s="1"/>
  <c r="D27" i="11" s="1"/>
  <c r="F27" i="68"/>
  <c r="E78" i="3"/>
  <c r="E243" i="3"/>
  <c r="E104" i="3"/>
  <c r="E452" i="3"/>
  <c r="E360" i="3"/>
  <c r="E469" i="3"/>
  <c r="E173" i="3"/>
  <c r="E102" i="3"/>
  <c r="E235" i="3"/>
  <c r="AL6" i="3"/>
  <c r="E309" i="3"/>
  <c r="E233" i="3"/>
  <c r="E310" i="3"/>
  <c r="E64" i="3"/>
  <c r="E389" i="3"/>
  <c r="E95" i="3"/>
  <c r="E554" i="3"/>
  <c r="E442" i="3"/>
  <c r="E536" i="3"/>
  <c r="E49" i="3"/>
  <c r="E220" i="3"/>
  <c r="E428" i="3"/>
  <c r="E115" i="3"/>
  <c r="E420" i="3"/>
  <c r="E497" i="3"/>
  <c r="E408" i="3"/>
  <c r="E405" i="3"/>
  <c r="E22" i="3"/>
  <c r="E34" i="3"/>
  <c r="E18" i="3"/>
  <c r="E198" i="3"/>
  <c r="E63" i="3"/>
  <c r="E67" i="3"/>
  <c r="E267" i="3"/>
  <c r="E409" i="3"/>
  <c r="E241" i="3"/>
  <c r="E417" i="3"/>
  <c r="E449" i="3"/>
  <c r="E575" i="3"/>
  <c r="AA7" i="36"/>
  <c r="R36" i="36" s="1"/>
  <c r="M17" i="15"/>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D36" i="71"/>
  <c r="T36" i="71"/>
  <c r="D56" i="71"/>
  <c r="T56" i="71"/>
  <c r="C26" i="71"/>
  <c r="D26" i="71" s="1"/>
  <c r="D27" i="71"/>
  <c r="E3" i="6"/>
  <c r="E6" i="6" s="1"/>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3" i="3"/>
  <c r="AY66" i="3"/>
  <c r="AY34" i="3"/>
  <c r="AY176" i="3"/>
  <c r="AY144" i="3"/>
  <c r="AY155" i="3"/>
  <c r="AY95" i="3"/>
  <c r="AY59" i="3"/>
  <c r="AY188" i="3"/>
  <c r="AY131" i="3"/>
  <c r="AY276" i="3"/>
  <c r="AY111" i="3"/>
  <c r="AY297" i="3"/>
  <c r="AY253" i="3"/>
  <c r="AY268" i="3"/>
  <c r="AY382" i="3"/>
  <c r="AY371" i="3"/>
  <c r="AY335" i="3"/>
  <c r="AY103" i="3"/>
  <c r="AY50" i="3"/>
  <c r="AY196" i="3"/>
  <c r="AY289" i="3"/>
  <c r="AY74" i="3"/>
  <c r="AY183" i="3"/>
  <c r="AY204" i="3"/>
  <c r="AY284" i="3"/>
  <c r="AY209" i="3"/>
  <c r="AY319" i="3"/>
  <c r="AY473" i="3"/>
  <c r="AY470" i="3"/>
  <c r="AY441" i="3"/>
  <c r="AY409" i="3"/>
  <c r="AY529" i="3"/>
  <c r="AY180" i="3"/>
  <c r="AY300" i="3"/>
  <c r="AY260" i="3"/>
  <c r="AY217" i="3"/>
  <c r="AY372" i="3"/>
  <c r="AY358" i="3"/>
  <c r="AY310" i="3"/>
  <c r="AY465" i="3"/>
  <c r="AY463" i="3"/>
  <c r="AY433" i="3"/>
  <c r="AY401" i="3"/>
  <c r="AY549" i="3"/>
  <c r="AY544" i="3"/>
  <c r="AY533" i="3"/>
  <c r="AY541" i="3"/>
  <c r="AY97" i="3"/>
  <c r="AY108" i="3"/>
  <c r="AY92" i="3"/>
  <c r="AY45" i="3"/>
  <c r="AY76" i="3"/>
  <c r="AY44" i="3"/>
  <c r="AY33" i="3"/>
  <c r="AY190" i="3"/>
  <c r="AY201" i="3"/>
  <c r="AY154" i="3"/>
  <c r="AY138" i="3"/>
  <c r="AY165" i="3"/>
  <c r="AY118" i="3"/>
  <c r="AY125" i="3"/>
  <c r="AY283" i="3"/>
  <c r="AY278" i="3"/>
  <c r="AY247" i="3"/>
  <c r="AY231" i="3"/>
  <c r="AY230" i="3"/>
  <c r="AY214" i="3"/>
  <c r="AY219" i="3"/>
  <c r="AY381" i="3"/>
  <c r="AY374" i="3"/>
  <c r="AY360" i="3"/>
  <c r="BH6" i="3"/>
  <c r="AY109" i="3"/>
  <c r="AY104" i="3"/>
  <c r="AY56" i="3"/>
  <c r="AY24" i="3"/>
  <c r="AY202" i="3"/>
  <c r="AY177" i="3"/>
  <c r="AY145" i="3"/>
  <c r="AY295" i="3"/>
  <c r="AY259" i="3"/>
  <c r="AY242" i="3"/>
  <c r="AY210" i="3"/>
  <c r="AY353" i="3"/>
  <c r="AY349" i="3"/>
  <c r="AY333" i="3"/>
  <c r="AY332" i="3"/>
  <c r="AY316" i="3"/>
  <c r="AY475" i="3"/>
  <c r="AY472" i="3"/>
  <c r="AY462" i="3"/>
  <c r="AY446" i="3"/>
  <c r="AY398" i="3"/>
  <c r="AY427" i="3"/>
  <c r="AY411" i="3"/>
  <c r="BM6" i="3"/>
  <c r="AY585" i="3"/>
  <c r="AY534" i="3"/>
  <c r="AY571" i="3"/>
  <c r="AY495" i="3"/>
  <c r="AY510" i="3"/>
  <c r="AY501" i="3"/>
  <c r="AY98" i="3"/>
  <c r="AY18" i="3"/>
  <c r="AY163" i="3"/>
  <c r="AY75" i="3"/>
  <c r="AY387" i="3"/>
  <c r="AY486" i="3"/>
  <c r="AY425" i="3"/>
  <c r="AY526" i="3"/>
  <c r="AY244" i="3"/>
  <c r="AY390" i="3"/>
  <c r="AY355" i="3"/>
  <c r="AY447" i="3"/>
  <c r="AY404" i="3"/>
  <c r="AY562" i="3"/>
  <c r="BO6" i="3"/>
  <c r="AY89" i="3"/>
  <c r="AY85" i="3"/>
  <c r="AY36" i="3"/>
  <c r="AY25" i="3"/>
  <c r="AY182" i="3"/>
  <c r="AY157" i="3"/>
  <c r="AY126" i="3"/>
  <c r="AY302" i="3"/>
  <c r="AY239" i="3"/>
  <c r="AY222" i="3"/>
  <c r="AY211" i="3"/>
  <c r="BS6" i="3"/>
  <c r="BI6" i="3"/>
  <c r="AY93" i="3"/>
  <c r="AY186" i="3"/>
  <c r="AY150" i="3"/>
  <c r="AY279" i="3"/>
  <c r="AY226" i="3"/>
  <c r="AY356" i="3"/>
  <c r="AY325" i="3"/>
  <c r="AY467" i="3"/>
  <c r="AY464" i="3"/>
  <c r="AY454" i="3"/>
  <c r="AY403" i="3"/>
  <c r="AY525" i="3"/>
  <c r="BN6" i="3"/>
  <c r="AY518" i="3"/>
  <c r="AY508" i="3"/>
  <c r="AY532" i="3"/>
  <c r="AY577" i="3"/>
  <c r="AY523" i="3"/>
  <c r="AY112" i="3"/>
  <c r="AY82" i="3"/>
  <c r="AY191" i="3"/>
  <c r="AY31" i="3"/>
  <c r="AY147" i="3"/>
  <c r="AY350" i="3"/>
  <c r="AY489" i="3"/>
  <c r="AY497" i="3"/>
  <c r="AY43" i="3"/>
  <c r="AY116" i="3"/>
  <c r="AY379" i="3"/>
  <c r="AY343" i="3"/>
  <c r="AY478" i="3"/>
  <c r="AY417" i="3"/>
  <c r="AY573" i="3"/>
  <c r="AY540" i="3"/>
  <c r="AY100" i="3"/>
  <c r="AY69" i="3"/>
  <c r="AY84" i="3"/>
  <c r="AY198" i="3"/>
  <c r="AY193" i="3"/>
  <c r="AY173" i="3"/>
  <c r="AY134" i="3"/>
  <c r="AY286" i="3"/>
  <c r="AY255" i="3"/>
  <c r="AY227" i="3"/>
  <c r="AY384" i="3"/>
  <c r="AY373" i="3"/>
  <c r="BB6" i="3"/>
  <c r="AY88" i="3"/>
  <c r="AY29" i="3"/>
  <c r="AY161" i="3"/>
  <c r="AY275" i="3"/>
  <c r="AY258" i="3"/>
  <c r="AY341" i="3"/>
  <c r="AY309" i="3"/>
  <c r="AY324"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F41" i="15"/>
  <c r="C48" i="67" l="1"/>
  <c r="R50" i="34"/>
  <c r="C49" i="34" s="1"/>
  <c r="G54" i="34"/>
  <c r="H54" i="34" s="1"/>
  <c r="C48" i="15"/>
  <c r="C66" i="15" s="1"/>
  <c r="C47" i="11"/>
  <c r="D45" i="11" s="1"/>
  <c r="F24" i="67"/>
  <c r="C24" i="67" s="1"/>
  <c r="C47" i="68"/>
  <c r="D45" i="68" s="1"/>
  <c r="F45" i="68"/>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F22" i="11"/>
  <c r="C44" i="11" s="1"/>
  <c r="D41" i="11"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36" i="3"/>
  <c r="AY419" i="3"/>
  <c r="AY480" i="3"/>
  <c r="AY215" i="3"/>
  <c r="AY181" i="3"/>
  <c r="AY507" i="3"/>
  <c r="AY270" i="3"/>
  <c r="AY141" i="3"/>
  <c r="AY20" i="3"/>
  <c r="AY539" i="3"/>
  <c r="AY436" i="3"/>
  <c r="AY212" i="3"/>
  <c r="AY455" i="3"/>
  <c r="AY292" i="3"/>
  <c r="AY49" i="3"/>
  <c r="AY556" i="3"/>
  <c r="AY527" i="3"/>
  <c r="AY435" i="3"/>
  <c r="AY340" i="3"/>
  <c r="AY243" i="3"/>
  <c r="AY40" i="3"/>
  <c r="AY389" i="3"/>
  <c r="AY271" i="3"/>
  <c r="AY146" i="3"/>
  <c r="AY53" i="3"/>
  <c r="AY574" i="3"/>
  <c r="AY481" i="3"/>
  <c r="AY199" i="3"/>
  <c r="AY334" i="3"/>
  <c r="AY90" i="3"/>
  <c r="BG6" i="3"/>
  <c r="BF6" i="3"/>
  <c r="BQ6" i="3"/>
  <c r="AY430" i="3"/>
  <c r="AY488" i="3"/>
  <c r="AY348" i="3"/>
  <c r="AY388" i="3"/>
  <c r="AY290" i="3"/>
  <c r="AY166" i="3"/>
  <c r="AY73" i="3"/>
  <c r="AY554" i="3"/>
  <c r="AY397" i="3"/>
  <c r="AY262" i="3"/>
  <c r="AY294" i="3"/>
  <c r="AY133" i="3"/>
  <c r="AY185" i="3"/>
  <c r="AY28" i="3"/>
  <c r="AY61" i="3"/>
  <c r="BE6" i="3"/>
  <c r="BK6" i="3"/>
  <c r="AY420" i="3"/>
  <c r="AY327" i="3"/>
  <c r="AY228" i="3"/>
  <c r="AY26" i="3"/>
  <c r="AY460" i="3"/>
  <c r="AY363" i="3"/>
  <c r="AY261" i="3"/>
  <c r="AY160" i="3"/>
  <c r="AY303" i="3"/>
  <c r="AY225" i="3"/>
  <c r="AY58" i="3"/>
  <c r="AY152" i="3"/>
  <c r="AY115" i="3"/>
  <c r="AY23" i="3"/>
  <c r="AY87" i="3"/>
  <c r="M16" i="1"/>
  <c r="N16" i="1" s="1"/>
  <c r="AC6" i="3"/>
  <c r="C29" i="68"/>
  <c r="D27" i="68" s="1"/>
  <c r="H6" i="3"/>
  <c r="C17" i="4"/>
  <c r="B4" i="52" s="1"/>
  <c r="B43" i="72" s="1"/>
  <c r="M18" i="9"/>
  <c r="B118" i="9" s="1"/>
  <c r="B1" i="74" s="1"/>
  <c r="D116" i="43"/>
  <c r="D14" i="12"/>
  <c r="D17" i="12" s="1"/>
  <c r="C17" i="12" s="1"/>
  <c r="D3" i="37"/>
  <c r="L18" i="9"/>
  <c r="D19" i="11"/>
  <c r="C19" i="11" s="1"/>
  <c r="C20" i="11" s="1"/>
  <c r="C28" i="11" s="1"/>
  <c r="C27" i="11" s="1"/>
  <c r="D37" i="11"/>
  <c r="D3" i="33"/>
  <c r="D3" i="34"/>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6" i="6"/>
  <c r="D13"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67"/>
  <c r="C17" i="15"/>
  <c r="C14" i="67"/>
  <c r="C50" i="34" l="1"/>
  <c r="C44" i="69"/>
  <c r="D41" i="69" s="1"/>
  <c r="L16" i="1"/>
  <c r="C26" i="11"/>
  <c r="D22" i="11" s="1"/>
  <c r="C23" i="11"/>
  <c r="H22" i="6"/>
  <c r="D12" i="6"/>
  <c r="L19" i="9"/>
  <c r="D20" i="6"/>
  <c r="D23" i="6"/>
  <c r="D9" i="6"/>
  <c r="D21" i="6"/>
  <c r="E61" i="40"/>
  <c r="D19" i="6"/>
  <c r="D14" i="6"/>
  <c r="D15" i="6"/>
  <c r="C24" i="11"/>
  <c r="D28" i="6"/>
  <c r="D5" i="6"/>
  <c r="H24" i="6"/>
  <c r="D10" i="6"/>
  <c r="D8" i="6"/>
  <c r="D16" i="6" s="1"/>
  <c r="D24" i="6"/>
  <c r="D25" i="6"/>
  <c r="E6" i="3"/>
  <c r="H26" i="6"/>
  <c r="R26" i="6" s="1"/>
  <c r="D11" i="6"/>
  <c r="C18" i="4"/>
  <c r="A10" i="51" s="1"/>
  <c r="B9" i="72" s="1"/>
  <c r="D29" i="6"/>
  <c r="D6" i="6"/>
  <c r="M19" i="9"/>
  <c r="C118" i="9" s="1"/>
  <c r="B2" i="74" s="1"/>
  <c r="C26" i="68"/>
  <c r="D22" i="68" s="1"/>
  <c r="C26" i="69"/>
  <c r="D22" i="69" s="1"/>
  <c r="H21" i="6"/>
  <c r="C23" i="68"/>
  <c r="C44" i="68"/>
  <c r="D41" i="68" s="1"/>
  <c r="H25" i="6"/>
  <c r="R25" i="6" s="1"/>
  <c r="R12" i="1" s="1"/>
  <c r="C25" i="11"/>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R21" i="6"/>
  <c r="R8" i="1" s="1"/>
  <c r="C10" i="69"/>
  <c r="C8" i="69" s="1"/>
  <c r="C5" i="69" s="1"/>
  <c r="D19" i="69"/>
  <c r="F50" i="69"/>
  <c r="F50" i="11"/>
  <c r="F50" i="68"/>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R20" i="6"/>
  <c r="R7" i="1" s="1"/>
  <c r="R24" i="6"/>
  <c r="R11" i="1" s="1"/>
  <c r="R23" i="6"/>
  <c r="R10" i="1" s="1"/>
  <c r="C4" i="52"/>
  <c r="B45" i="72" s="1"/>
  <c r="D30" i="6"/>
  <c r="D27" i="6"/>
  <c r="D31" i="6" s="1"/>
  <c r="I6" i="6"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L51" i="15"/>
  <c r="D2" i="37"/>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9" i="1"/>
  <c r="AO12" i="1"/>
  <c r="AO6" i="1"/>
  <c r="D34" i="9"/>
  <c r="D35" i="9"/>
  <c r="AO8" i="1"/>
  <c r="AO7" i="1"/>
  <c r="AO10"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9" i="9" l="1"/>
  <c r="I20" i="9" s="1"/>
  <c r="AI19" i="1"/>
  <c r="C32" i="9"/>
  <c r="C35" i="9" s="1"/>
  <c r="C34" i="9" s="1"/>
  <c r="R24" i="31"/>
  <c r="D6" i="71"/>
  <c r="C5" i="71"/>
  <c r="D5" i="71" s="1"/>
  <c r="M24" i="43" s="1"/>
  <c r="C42" i="40"/>
  <c r="C43" i="40"/>
  <c r="E47" i="40"/>
  <c r="F47" i="40" s="1"/>
  <c r="E46" i="40"/>
  <c r="F46" i="40" s="1"/>
  <c r="I47" i="40"/>
  <c r="J47" i="40" s="1"/>
  <c r="S24" i="31" l="1"/>
  <c r="R26" i="31"/>
  <c r="S26" i="31" s="1"/>
  <c r="R27" i="31"/>
  <c r="S27"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H102" i="9" s="1"/>
  <c r="H118" i="9" l="1"/>
  <c r="H101" i="9" s="1"/>
  <c r="M48" i="9" s="1"/>
  <c r="I4" i="52"/>
  <c r="G4" i="52"/>
  <c r="B52" i="72" s="1"/>
  <c r="C5" i="74"/>
  <c r="D7" i="53"/>
  <c r="B21" i="72" s="1"/>
  <c r="F119" i="9"/>
  <c r="F5" i="52" s="1"/>
  <c r="B53" i="72" s="1"/>
  <c r="F4" i="52"/>
  <c r="B51" i="72" s="1"/>
  <c r="E118" i="9"/>
  <c r="C105" i="9"/>
  <c r="H119" i="9"/>
  <c r="H5" i="52" s="1"/>
  <c r="H4" i="52" l="1"/>
  <c r="D5" i="53"/>
  <c r="B20" i="72" s="1"/>
  <c r="C104" i="9"/>
  <c r="D45" i="9"/>
  <c r="C85" i="9" s="1"/>
  <c r="H107" i="9"/>
  <c r="M49" i="9" s="1"/>
  <c r="D6" i="53"/>
  <c r="B22" i="72" s="1"/>
  <c r="D118" i="9"/>
  <c r="E4" i="52"/>
  <c r="B48" i="72" s="1"/>
  <c r="C78" i="9" l="1"/>
  <c r="C73" i="9" s="1"/>
  <c r="D53" i="9"/>
  <c r="C64" i="9"/>
  <c r="C63" i="9" s="1"/>
  <c r="C67" i="9" s="1"/>
  <c r="C68" i="9" s="1"/>
  <c r="D54" i="9" s="1"/>
  <c r="C93" i="9"/>
  <c r="C86" i="9" s="1"/>
  <c r="C95" i="9" s="1"/>
  <c r="D52" i="9"/>
  <c r="C72" i="9"/>
  <c r="D55" i="9"/>
  <c r="M53" i="9" s="1"/>
  <c r="D13" i="53"/>
  <c r="D14" i="53" s="1"/>
  <c r="B32" i="72" s="1"/>
  <c r="H108" i="9"/>
  <c r="D15" i="53" s="1"/>
  <c r="B31" i="72" s="1"/>
  <c r="D122" i="9"/>
  <c r="D123" i="9" s="1"/>
  <c r="D9" i="52" s="1"/>
  <c r="D119" i="9"/>
  <c r="D5" i="52" s="1"/>
  <c r="B49" i="72" s="1"/>
  <c r="D4" i="52"/>
  <c r="B47" i="72" s="1"/>
  <c r="C6" i="74"/>
  <c r="L65" i="9"/>
  <c r="M65" i="9" s="1"/>
  <c r="L68" i="9"/>
  <c r="M68" i="9" s="1"/>
  <c r="L64" i="9"/>
  <c r="M64" i="9" s="1"/>
  <c r="L66" i="9"/>
  <c r="M66" i="9" s="1"/>
  <c r="L67" i="9"/>
  <c r="M67" i="9" s="1"/>
  <c r="L63" i="9"/>
  <c r="M63" i="9" s="1"/>
  <c r="C79" i="9" l="1"/>
  <c r="C80" i="9" s="1"/>
  <c r="E80" i="9" s="1"/>
  <c r="E81" i="9" s="1"/>
  <c r="D59" i="9"/>
  <c r="M55" i="9" s="1"/>
  <c r="B30" i="72"/>
  <c r="D8" i="52"/>
  <c r="M69" i="9"/>
  <c r="N69"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<sst xmlns="http://schemas.openxmlformats.org/spreadsheetml/2006/main" count="7865" uniqueCount="3430">
  <si>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</si>
  <si>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</si>
  <si>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</si>
  <si>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</si>
  <si>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</si>
  <si>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</si>
  <si>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</si>
  <si>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</si>
  <si>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</si>
  <si>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</si>
  <si>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</si>
  <si>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</si>
  <si>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</si>
  <si>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</si>
  <si>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</si>
  <si>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</si>
  <si>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</si>
  <si>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</si>
  <si>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</si>
  <si>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</si>
  <si>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</si>
  <si>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</si>
  <si>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</si>
  <si>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</si>
  <si>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</si>
  <si>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</si>
  <si>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</si>
  <si>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</si>
  <si>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</si>
  <si>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</si>
  <si>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</si>
  <si>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</si>
  <si>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</si>
  <si>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</si>
  <si>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</si>
  <si>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</si>
  <si>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</si>
  <si>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</si>
  <si>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</si>
  <si>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</si>
  <si>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</si>
  <si>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</si>
  <si>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</si>
  <si>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</si>
  <si>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</si>
  <si>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</si>
  <si>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</si>
  <si>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</si>
  <si>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</si>
  <si>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</si>
  <si>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</si>
  <si>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</si>
  <si>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</si>
  <si>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</si>
  <si>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</si>
  <si>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</si>
  <si>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</si>
  <si>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</si>
  <si>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</si>
  <si>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</si>
  <si>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</si>
  <si>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</si>
  <si>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</si>
  <si>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</si>
  <si>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</si>
  <si>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</si>
  <si>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</si>
  <si>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</si>
  <si>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</si>
  <si>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</si>
  <si>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</si>
  <si>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</si>
  <si>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</si>
  <si>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</si>
  <si>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</si>
  <si>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</si>
  <si>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</si>
  <si>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</si>
  <si>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</si>
  <si>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</si>
  <si>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</si>
  <si>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</si>
  <si>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</si>
  <si>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</si>
  <si>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</si>
  <si>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</si>
  <si>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</si>
  <si>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</si>
  <si>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</si>
  <si>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</si>
  <si>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</si>
  <si>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</si>
  <si>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</si>
  <si>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</si>
  <si>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</si>
  <si>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</si>
  <si>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</si>
  <si>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</si>
  <si>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</si>
  <si>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</si>
  <si>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</si>
  <si>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</si>
  <si>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</si>
  <si>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</si>
  <si>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</si>
  <si>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</si>
  <si>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</si>
  <si>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</si>
  <si>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</si>
  <si>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</si>
  <si>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</si>
  <si>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</si>
  <si>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</si>
  <si>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</si>
  <si>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</si>
  <si>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</si>
  <si>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</si>
  <si>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</si>
  <si>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</si>
  <si>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</si>
  <si>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</si>
  <si>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</si>
  <si>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</si>
  <si>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</si>
  <si>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</si>
  <si>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</si>
  <si>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</si>
  <si>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</si>
  <si>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</si>
  <si>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</si>
  <si>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</si>
  <si>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</si>
  <si>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</si>
  <si>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</si>
  <si>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</si>
  <si>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</si>
  <si>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</si>
  <si>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</si>
  <si>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</si>
  <si>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</si>
  <si>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</si>
  <si>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</si>
  <si>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</si>
  <si>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</si>
  <si>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</si>
  <si>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</si>
  <si>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</si>
  <si>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</si>
  <si>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</si>
  <si>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</si>
  <si>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</si>
  <si>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</si>
  <si>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</si>
  <si>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</si>
  <si>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</si>
  <si>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</si>
  <si>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</si>
  <si>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</si>
  <si>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</si>
  <si>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</si>
  <si>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</si>
  <si>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</si>
  <si>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</si>
  <si>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</si>
  <si>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</si>
  <si>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</si>
  <si>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</si>
  <si>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</si>
  <si>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</si>
  <si>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</si>
  <si>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</si>
  <si>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</si>
  <si>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</si>
  <si>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</si>
  <si>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</si>
  <si>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</si>
  <si>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</si>
  <si>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</si>
  <si>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</si>
  <si>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</si>
  <si>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</si>
  <si>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</si>
  <si>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</si>
  <si>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</si>
  <si>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</si>
  <si>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</si>
  <si>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</si>
  <si>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</si>
  <si>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</si>
  <si>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</si>
  <si>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</si>
  <si>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</si>
  <si>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</si>
  <si>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</si>
  <si>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</si>
  <si>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</si>
  <si>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</si>
  <si>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</si>
  <si>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</si>
  <si>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</si>
  <si>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</si>
  <si>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</si>
  <si>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</si>
  <si>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</si>
  <si>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</si>
  <si>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</si>
  <si>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</si>
  <si>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</si>
  <si>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</si>
  <si>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</si>
  <si>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</si>
  <si>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</si>
  <si>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</si>
  <si>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</si>
  <si>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</si>
  <si>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</si>
  <si>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</si>
  <si>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</si>
  <si>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</si>
  <si>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</si>
  <si>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</si>
  <si>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</si>
  <si>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</si>
  <si>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</si>
  <si>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</si>
  <si>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</si>
  <si>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</si>
  <si>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</si>
  <si>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</si>
  <si>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</si>
  <si>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</si>
  <si>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</si>
  <si>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</si>
  <si>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</si>
  <si>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</si>
  <si>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</si>
  <si>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</si>
  <si>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</si>
  <si>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</si>
  <si>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</si>
  <si>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</si>
  <si>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</si>
  <si>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</si>
  <si>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</si>
  <si>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</si>
  <si>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</si>
  <si>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</si>
  <si>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</si>
  <si>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</si>
  <si>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</si>
  <si>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</si>
  <si>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</si>
  <si>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</si>
  <si>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</si>
  <si>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</si>
  <si>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</si>
  <si>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</si>
  <si>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</si>
  <si>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</si>
  <si>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</si>
  <si>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</si>
  <si>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</si>
  <si>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</si>
  <si>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</si>
  <si>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</si>
  <si>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</si>
  <si>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</si>
  <si>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</si>
  <si>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</si>
  <si>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</si>
  <si>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</si>
  <si>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</si>
  <si>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</si>
  <si>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</si>
  <si>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</si>
  <si>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</si>
  <si>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</si>
  <si>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</si>
  <si>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</si>
  <si>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</si>
  <si>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</si>
  <si>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</si>
  <si>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</si>
  <si>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</si>
  <si>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</si>
  <si>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</si>
  <si>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</si>
  <si>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</si>
  <si>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</si>
  <si>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</si>
  <si>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</si>
  <si>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</si>
  <si>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</si>
  <si>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</si>
  <si>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</si>
  <si>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</si>
  <si>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</si>
  <si>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</si>
  <si>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</si>
  <si>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</si>
  <si>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</si>
  <si>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</si>
  <si>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</si>
  <si>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</si>
  <si>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</si>
  <si>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</si>
  <si>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</si>
  <si>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</si>
  <si>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</si>
  <si>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</si>
  <si>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</si>
  <si>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</si>
  <si>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</si>
  <si>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</si>
  <si>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</si>
  <si>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</si>
  <si>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</si>
  <si>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</si>
  <si>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</si>
  <si>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</si>
  <si>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</si>
  <si>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</si>
  <si>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</si>
  <si>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</si>
  <si>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</si>
  <si>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</si>
  <si>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</si>
  <si>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</si>
  <si>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</si>
  <si>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</si>
  <si>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</si>
  <si>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</si>
  <si>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</si>
  <si>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</si>
  <si>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</si>
  <si>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</si>
  <si>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</si>
  <si>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</si>
  <si>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</si>
  <si>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</si>
  <si>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</si>
  <si>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</si>
  <si>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</si>
  <si>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</si>
  <si>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</si>
  <si>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</si>
  <si>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</si>
  <si>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</si>
  <si>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</si>
  <si>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</si>
  <si>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</si>
  <si>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</si>
  <si>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</si>
  <si>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</si>
  <si>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</si>
  <si>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</si>
  <si>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</si>
  <si>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</si>
  <si>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</si>
  <si>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</si>
  <si>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</si>
  <si>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</si>
  <si>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</si>
  <si>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</si>
  <si>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</si>
  <si>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</si>
  <si>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</si>
  <si>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</si>
  <si>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</si>
  <si>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</si>
  <si>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</si>
  <si>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</si>
  <si>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</si>
  <si>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</si>
  <si>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</si>
  <si>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</si>
  <si>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</si>
  <si>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</si>
  <si>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</si>
  <si>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</si>
  <si>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</si>
  <si>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</si>
  <si>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</si>
  <si>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</si>
  <si>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</si>
  <si>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</si>
  <si>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</si>
  <si>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</si>
  <si>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</si>
  <si>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</si>
  <si>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</si>
  <si>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</si>
  <si>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</si>
  <si>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</si>
  <si>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</si>
  <si>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</si>
  <si>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</si>
  <si>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</si>
  <si>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</si>
  <si>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</si>
  <si>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</si>
  <si>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</si>
  <si>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</si>
  <si>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</si>
  <si>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</si>
  <si>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</si>
  <si>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</si>
  <si>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</si>
  <si>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</si>
  <si>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</si>
  <si>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</si>
  <si>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</si>
  <si>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</si>
  <si>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</si>
  <si>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</si>
  <si>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</si>
  <si>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</si>
  <si>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</si>
  <si>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</si>
  <si>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</si>
  <si>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</si>
  <si>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</si>
  <si>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</si>
  <si>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</si>
  <si>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</si>
  <si>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</si>
  <si>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</si>
  <si>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</si>
  <si>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</si>
  <si>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</si>
  <si>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</si>
  <si>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</si>
  <si>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</si>
  <si>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</si>
  <si>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</si>
  <si>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</si>
  <si>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</si>
  <si>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</si>
  <si>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</si>
  <si>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</si>
  <si>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</si>
  <si>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</si>
  <si>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</si>
  <si>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</si>
  <si>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</si>
  <si>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</si>
  <si>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</si>
  <si>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</si>
  <si>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</si>
  <si>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</si>
  <si>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</si>
  <si>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</si>
  <si>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</si>
  <si>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</si>
  <si>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</si>
  <si>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</si>
  <si>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</si>
  <si>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</si>
  <si>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</si>
  <si>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</si>
  <si>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</si>
  <si>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</si>
  <si>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</si>
  <si>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</si>
  <si>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</si>
  <si>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</si>
  <si>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</si>
  <si>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</si>
  <si>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</si>
  <si>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</si>
  <si>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</si>
  <si>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</si>
  <si>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</si>
  <si>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</si>
  <si>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</si>
  <si>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</si>
  <si>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</si>
  <si>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</si>
  <si>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</si>
  <si>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</si>
  <si>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</si>
  <si>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</si>
  <si>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</si>
  <si>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</si>
  <si>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</si>
  <si>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</si>
  <si>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</si>
  <si>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</si>
  <si>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</si>
  <si>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</si>
  <si>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</si>
  <si>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</si>
  <si>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</si>
  <si>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</si>
  <si>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</si>
  <si>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</si>
  <si>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</si>
  <si>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</si>
  <si>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</si>
  <si>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</si>
  <si>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</si>
  <si>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</si>
  <si>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</si>
  <si>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</si>
  <si>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</si>
  <si>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</si>
  <si>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</si>
  <si>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</si>
  <si>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</si>
  <si>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</si>
  <si>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</si>
  <si>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</si>
  <si>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</si>
  <si>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</si>
  <si>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</si>
  <si>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</si>
  <si>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</si>
  <si>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</si>
  <si>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</si>
  <si>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</si>
  <si>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</si>
  <si>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</si>
  <si>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</si>
  <si>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</si>
  <si>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</si>
  <si>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</si>
  <si>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</si>
  <si>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</si>
  <si>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</si>
  <si>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</si>
  <si>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</si>
  <si>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</si>
  <si>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</si>
  <si>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</si>
  <si>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</si>
  <si>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</si>
  <si>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</si>
  <si>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</si>
  <si>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</si>
  <si>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</si>
  <si>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</si>
  <si>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</si>
  <si>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</si>
  <si>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</si>
  <si>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</si>
  <si>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</si>
  <si>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</si>
  <si>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</si>
  <si>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</si>
  <si>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</si>
  <si>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</si>
  <si>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</si>
  <si>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</si>
  <si>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</si>
  <si>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</si>
  <si>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</si>
  <si>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</si>
  <si>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</si>
  <si>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</si>
  <si>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</si>
  <si>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</si>
  <si>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</si>
  <si>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</si>
  <si>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</si>
  <si>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</si>
  <si>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</si>
  <si>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</si>
  <si>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</si>
  <si>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</si>
  <si>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</si>
  <si>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</si>
  <si>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</si>
  <si>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</si>
  <si>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</si>
  <si>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</si>
  <si>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</si>
  <si>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</si>
  <si>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</si>
  <si>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</si>
  <si>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</si>
  <si>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</si>
  <si>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</si>
  <si>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</si>
  <si>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</si>
  <si>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</si>
  <si>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</si>
  <si>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</si>
  <si>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</si>
  <si>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</si>
  <si>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</si>
  <si>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</si>
  <si>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</si>
  <si>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</si>
  <si>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</si>
  <si>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</si>
  <si>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</si>
  <si>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</si>
  <si>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</si>
  <si>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</si>
  <si>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</si>
  <si>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</si>
  <si>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</si>
  <si>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</si>
  <si>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</si>
  <si>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</si>
  <si>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</si>
  <si>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</si>
  <si>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</si>
  <si>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</si>
  <si>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</si>
  <si>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</si>
  <si>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</si>
  <si>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</si>
  <si>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</si>
  <si>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</si>
  <si>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</si>
  <si>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</si>
  <si>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</si>
  <si>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</si>
  <si>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</si>
  <si>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</si>
  <si>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</si>
  <si>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</si>
  <si>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</si>
  <si>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</si>
  <si>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</si>
  <si>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</si>
  <si>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</si>
  <si>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</si>
  <si>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</si>
  <si>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</si>
  <si>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</si>
  <si>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</si>
  <si>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</si>
  <si>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</si>
  <si>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</si>
  <si>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</si>
  <si>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</si>
  <si>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</si>
  <si>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</si>
  <si>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</si>
  <si>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</si>
  <si>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</si>
  <si>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</si>
  <si>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</si>
  <si>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</si>
  <si>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</si>
  <si>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</si>
  <si>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</si>
  <si>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</si>
  <si>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</si>
  <si>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</si>
  <si>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</si>
  <si>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</si>
  <si>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</si>
  <si>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</si>
  <si>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</si>
  <si>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</si>
  <si>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</si>
  <si>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</si>
  <si>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</si>
  <si>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</si>
  <si>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</si>
  <si>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</si>
  <si>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</si>
  <si>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</si>
  <si>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</si>
  <si>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</si>
  <si>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</si>
  <si>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</si>
  <si>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</si>
  <si>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</si>
  <si>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</si>
  <si>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</si>
  <si>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</si>
  <si>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</si>
  <si>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</si>
  <si>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</si>
  <si>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</si>
  <si>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</si>
  <si>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</si>
  <si>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</si>
  <si>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</si>
  <si>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</si>
  <si>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</si>
  <si>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</si>
  <si>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</si>
  <si>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</si>
  <si>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</si>
  <si>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</si>
  <si>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</si>
  <si>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</si>
  <si>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</si>
  <si>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</si>
  <si>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</si>
  <si>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</si>
  <si>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</si>
  <si>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</si>
  <si>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</si>
  <si>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</si>
  <si>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</si>
  <si>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</si>
  <si>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</si>
  <si>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</si>
  <si>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</si>
  <si>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</si>
  <si>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</si>
  <si>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</si>
  <si>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</si>
  <si>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</si>
  <si>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</si>
  <si>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</si>
  <si>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</si>
  <si>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</si>
  <si>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</si>
  <si>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</si>
  <si>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</si>
  <si>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</si>
  <si>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</si>
  <si>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</si>
  <si>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</si>
  <si>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</si>
  <si>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</si>
  <si>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</si>
  <si>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</si>
  <si>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</si>
  <si>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</si>
  <si>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</si>
  <si>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</si>
  <si>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</si>
  <si>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</si>
  <si>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</si>
  <si>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</si>
  <si>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</si>
  <si>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</si>
  <si>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</si>
  <si>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</si>
  <si>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</si>
  <si>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</si>
  <si>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</si>
  <si>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</si>
  <si>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</si>
  <si>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</si>
  <si>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</si>
  <si>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</si>
  <si>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</si>
  <si>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</si>
  <si>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</si>
  <si>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</si>
  <si>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</si>
  <si>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</si>
  <si>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</si>
  <si>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</si>
  <si>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</si>
  <si>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</si>
  <si>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</si>
  <si>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</si>
  <si>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</si>
  <si>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</si>
  <si>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</si>
  <si>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</si>
  <si>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</si>
  <si>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</si>
  <si>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</si>
  <si>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</si>
  <si>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</si>
  <si>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</si>
  <si>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</si>
  <si>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</si>
  <si>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</si>
  <si>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</si>
  <si>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</si>
  <si>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</si>
  <si>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</si>
  <si>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</si>
  <si>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</si>
  <si>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</si>
  <si>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</si>
  <si>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</si>
  <si>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</si>
  <si>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</si>
  <si>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</si>
  <si>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</si>
  <si>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</si>
  <si>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</si>
  <si>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</si>
  <si>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</si>
  <si>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</si>
  <si>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</si>
  <si>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</si>
  <si>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</si>
  <si>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</si>
  <si>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</si>
  <si>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</si>
  <si>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</si>
  <si>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</si>
  <si>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</si>
  <si>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</si>
  <si>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</si>
  <si>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</si>
  <si>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</si>
  <si>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</si>
  <si>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</si>
  <si>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</si>
  <si>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</si>
  <si>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</si>
  <si>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</si>
  <si>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</si>
  <si>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</si>
  <si>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</si>
  <si>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</si>
  <si>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</si>
  <si>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</si>
  <si>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</si>
  <si>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</si>
  <si>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</si>
  <si>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</si>
  <si>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</si>
  <si>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</si>
  <si>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</si>
  <si>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</si>
  <si>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</si>
  <si>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</si>
  <si>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</si>
  <si>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</si>
  <si>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</si>
  <si>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</si>
  <si>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</si>
  <si>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</si>
  <si>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</si>
  <si>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</si>
  <si>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</si>
  <si>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</si>
  <si>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</si>
  <si>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</si>
  <si>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</si>
  <si>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</si>
  <si>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</si>
  <si>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</si>
  <si>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</si>
  <si>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</si>
  <si>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</si>
  <si>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</si>
  <si>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</si>
  <si>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</si>
  <si>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</si>
  <si>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</si>
  <si>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</si>
  <si>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</si>
  <si>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</si>
  <si>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</si>
  <si>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</si>
  <si>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</si>
  <si>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</si>
  <si>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</si>
  <si>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</si>
  <si>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</si>
  <si>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</si>
  <si>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</si>
  <si>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</si>
  <si>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</si>
  <si>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</si>
  <si>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</si>
  <si>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</si>
  <si>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</si>
  <si>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</si>
  <si>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</si>
  <si>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</si>
  <si>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</si>
  <si>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</si>
  <si>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</si>
  <si>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</si>
  <si>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</si>
  <si>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</si>
  <si>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</si>
  <si>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</si>
  <si>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</si>
  <si>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</si>
  <si>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</si>
  <si>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</si>
  <si>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</si>
  <si>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</si>
  <si>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</si>
  <si>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</si>
  <si>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</si>
  <si>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</si>
  <si>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</si>
  <si>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</si>
  <si>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</si>
  <si>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</si>
  <si>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</si>
  <si>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</si>
  <si>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</si>
  <si>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</si>
  <si>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</si>
  <si>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</si>
  <si>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</si>
  <si>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</si>
  <si>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</si>
  <si>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</si>
  <si>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</si>
  <si>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</si>
  <si>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</si>
  <si>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</si>
  <si>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</si>
  <si>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</si>
  <si>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</si>
  <si>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</si>
  <si>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</si>
  <si>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</si>
  <si>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</si>
  <si>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</si>
  <si>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</si>
  <si>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</si>
  <si>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</si>
  <si>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</si>
  <si>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</si>
  <si>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</si>
  <si>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</si>
  <si>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</si>
  <si>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</si>
  <si>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</si>
  <si>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</si>
  <si>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</si>
  <si>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</si>
  <si>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</si>
  <si>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</si>
  <si>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</si>
  <si>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</si>
  <si>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</si>
  <si>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</si>
  <si>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</si>
  <si>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</si>
  <si>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</si>
  <si>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</si>
  <si>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</si>
  <si>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</si>
  <si>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</si>
  <si>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</si>
  <si>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</si>
  <si>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</si>
  <si>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</si>
  <si>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</si>
  <si>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</si>
  <si>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</si>
  <si>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</si>
  <si>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</si>
  <si>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</si>
  <si>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</si>
  <si>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</si>
  <si>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</si>
  <si>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</si>
  <si>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</si>
  <si>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</si>
  <si>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</si>
  <si>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</si>
  <si>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</si>
  <si>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</si>
  <si>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</si>
  <si>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</si>
  <si>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</si>
  <si>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</si>
  <si>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</si>
  <si>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</si>
  <si>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</si>
  <si>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</si>
  <si>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</si>
  <si>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</si>
  <si>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</si>
  <si>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</si>
  <si>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</si>
  <si>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</si>
  <si>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</si>
  <si>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</si>
  <si>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</si>
  <si>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</si>
  <si>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</si>
  <si>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</si>
  <si>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</si>
  <si>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</si>
  <si>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</si>
  <si>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</si>
  <si>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</si>
  <si>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</si>
  <si>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</si>
  <si>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</si>
  <si>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</si>
  <si>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</si>
  <si>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</si>
  <si>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</si>
  <si>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</si>
  <si>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</si>
  <si>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</si>
  <si>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</si>
  <si>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</si>
  <si>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</si>
  <si>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</si>
  <si>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</si>
  <si>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</si>
  <si>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</si>
  <si>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</si>
  <si>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</si>
  <si>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</si>
  <si>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</si>
  <si>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</si>
  <si>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</si>
  <si>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</si>
  <si>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</si>
  <si>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</si>
  <si>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</si>
  <si>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</si>
  <si>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</si>
  <si>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</si>
  <si>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</si>
  <si>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</si>
  <si>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</si>
  <si>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</si>
  <si>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</si>
  <si>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</si>
  <si>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</si>
  <si>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</si>
  <si>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</si>
  <si>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</si>
  <si>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</si>
  <si>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</si>
  <si>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</si>
  <si>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</si>
  <si>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</si>
  <si>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</si>
  <si>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</si>
  <si>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</si>
  <si>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</si>
  <si>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</si>
  <si>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</si>
  <si>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</si>
  <si>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</si>
  <si>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</si>
  <si>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</si>
  <si>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</si>
  <si>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</si>
  <si>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</si>
  <si>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</si>
  <si>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</si>
  <si>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</si>
  <si>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</si>
  <si>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</si>
  <si>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</si>
  <si>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</si>
  <si>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</si>
  <si>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</si>
  <si>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</si>
  <si>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</si>
  <si>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</si>
  <si>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</si>
  <si>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</si>
  <si>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</si>
  <si>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</si>
  <si>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</si>
  <si>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</si>
  <si>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</si>
  <si>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</si>
  <si>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</si>
  <si>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</si>
  <si>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</si>
  <si>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</si>
  <si>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</si>
  <si>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</si>
  <si>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</si>
  <si>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</si>
  <si>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</si>
  <si>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</si>
  <si>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</si>
  <si>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</si>
  <si>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</si>
  <si>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</si>
  <si>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</si>
  <si>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</si>
  <si>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</si>
  <si>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</si>
  <si>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</si>
  <si>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</si>
  <si>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</si>
  <si>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</si>
  <si>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</si>
  <si>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</si>
  <si>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</si>
  <si>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</si>
  <si>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</si>
  <si>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</si>
  <si>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</si>
  <si>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</si>
  <si>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</si>
  <si>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</si>
  <si>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</si>
  <si>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</si>
  <si>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</si>
  <si>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</si>
  <si>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</si>
  <si>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</si>
  <si>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</si>
  <si>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</si>
  <si>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</si>
  <si>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</si>
  <si>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</si>
  <si>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</si>
  <si>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</si>
  <si>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</si>
  <si>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</si>
  <si>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</si>
  <si>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</si>
  <si>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</si>
  <si>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</si>
  <si>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</si>
  <si>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</si>
  <si>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</si>
  <si>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</si>
  <si>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</si>
  <si>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</si>
  <si>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</si>
  <si>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</si>
  <si>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</si>
  <si>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</si>
  <si>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</si>
  <si>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</si>
  <si>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</si>
  <si>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</si>
  <si>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</si>
  <si>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</si>
  <si>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</si>
  <si>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</si>
  <si>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</si>
  <si>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</si>
  <si>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</si>
  <si>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</si>
  <si>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</si>
  <si>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</si>
  <si>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</si>
  <si>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</si>
  <si>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</si>
  <si>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</si>
  <si>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</si>
  <si>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</si>
  <si>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</si>
  <si>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</si>
  <si>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</si>
  <si>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</si>
  <si>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</si>
  <si>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</si>
  <si>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</si>
  <si>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</si>
  <si>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</si>
  <si>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</si>
  <si>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</si>
  <si>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</si>
  <si>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</si>
  <si>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</si>
  <si>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</si>
  <si>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</si>
  <si>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</si>
  <si>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</si>
  <si>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</si>
  <si>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</si>
  <si>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</si>
  <si>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</si>
  <si>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</si>
  <si>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</si>
  <si>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</si>
  <si>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</si>
  <si>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</si>
  <si>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</si>
  <si>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</si>
  <si>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</si>
  <si>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</si>
  <si>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</si>
  <si>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</si>
  <si>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</si>
  <si>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</si>
  <si>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</si>
  <si>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</si>
  <si>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</si>
  <si>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</si>
  <si>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</si>
  <si>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</si>
  <si>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</si>
  <si>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</si>
  <si>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</si>
  <si>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</si>
  <si>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</si>
  <si>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</si>
  <si>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</si>
  <si>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</si>
  <si>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</si>
  <si>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</si>
  <si>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</si>
  <si>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</si>
  <si>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</si>
  <si>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</si>
  <si>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</si>
  <si>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</si>
  <si>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</si>
  <si>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</si>
  <si>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</si>
  <si>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</si>
  <si>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</si>
  <si>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</si>
  <si>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</si>
  <si>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</si>
  <si>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</si>
  <si>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</si>
  <si>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</si>
  <si>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</si>
  <si>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</si>
  <si>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</si>
  <si>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</si>
  <si>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</si>
  <si>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</si>
  <si>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</si>
  <si>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</si>
  <si>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</si>
  <si>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</si>
  <si>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</si>
  <si>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</si>
  <si>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</si>
  <si>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</si>
  <si>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</si>
  <si>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</si>
  <si>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</si>
  <si>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</si>
  <si>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</si>
  <si>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</si>
  <si>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</si>
  <si>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</si>
  <si>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</si>
  <si>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</si>
  <si>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</si>
  <si>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</si>
  <si>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</si>
  <si>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</si>
  <si>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</si>
  <si>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</si>
  <si>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</si>
  <si>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</si>
  <si>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</si>
  <si>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</si>
  <si>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</si>
  <si>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</si>
  <si>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</si>
  <si>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</si>
  <si>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</si>
  <si>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</si>
  <si>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</si>
  <si>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</si>
  <si>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</si>
  <si>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</si>
  <si>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</si>
  <si>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</si>
  <si>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</si>
  <si>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</si>
  <si>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</si>
  <si>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</si>
  <si>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</si>
  <si>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</si>
  <si>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</si>
  <si>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</si>
  <si>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</si>
  <si>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</si>
  <si>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</si>
  <si>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</si>
  <si>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</si>
  <si>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</si>
  <si>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</si>
  <si>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</si>
  <si>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</si>
  <si>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</si>
  <si>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</si>
  <si>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</si>
  <si>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</si>
  <si>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</si>
  <si>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</si>
  <si>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</si>
  <si>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</si>
  <si>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</si>
  <si>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</si>
  <si>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</si>
  <si>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</si>
  <si>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</si>
  <si>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</si>
  <si>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</si>
  <si>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</si>
  <si>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</si>
  <si>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</si>
  <si>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</si>
  <si>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</si>
  <si>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</si>
  <si>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</si>
  <si>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</si>
  <si>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</si>
  <si>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</si>
  <si>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</si>
  <si>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</si>
  <si>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</si>
  <si>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</si>
  <si>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</si>
  <si>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</si>
  <si>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</si>
  <si>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</si>
  <si>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</si>
  <si>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</si>
  <si>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</si>
  <si>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</si>
  <si>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</si>
  <si>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</si>
  <si>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</si>
  <si>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</si>
  <si>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</si>
  <si>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</si>
  <si>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</si>
  <si>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</si>
  <si>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</si>
  <si>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</si>
  <si>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</si>
  <si>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</si>
  <si>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</si>
  <si>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</si>
  <si>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</si>
  <si>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</si>
  <si>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</si>
  <si>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</si>
  <si>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</si>
  <si>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</si>
  <si>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</si>
  <si>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</si>
  <si>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</si>
  <si>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</si>
  <si>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</si>
  <si>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</si>
  <si>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</si>
  <si>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</si>
  <si>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</si>
  <si>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</si>
  <si>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</si>
  <si>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</si>
  <si>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</si>
  <si>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</si>
  <si>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</si>
  <si>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</si>
  <si>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</si>
  <si>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</si>
  <si>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</si>
  <si>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</si>
  <si>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</si>
  <si>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</si>
  <si>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</si>
  <si>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</si>
  <si>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</si>
  <si>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</si>
  <si>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</si>
  <si>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</si>
  <si>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</si>
  <si>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</si>
  <si>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</si>
  <si>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</si>
  <si>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</si>
  <si>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</si>
  <si>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</si>
  <si>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</si>
  <si>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</si>
  <si>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</si>
  <si>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</si>
  <si>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</si>
  <si>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</si>
  <si>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</si>
  <si>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</si>
  <si>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</si>
  <si>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</si>
  <si>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</si>
  <si>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</si>
  <si>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</si>
  <si>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</si>
  <si>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</si>
  <si>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</si>
  <si>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</si>
  <si>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</si>
  <si>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</si>
  <si>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</si>
  <si>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</si>
  <si>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</si>
  <si>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</si>
  <si>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</si>
  <si>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</si>
  <si>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</si>
  <si>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</si>
  <si>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</si>
  <si>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</si>
  <si>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</si>
  <si>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</si>
  <si>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</si>
  <si>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</si>
  <si>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</si>
  <si>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</si>
  <si>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</si>
  <si>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</si>
  <si>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</si>
  <si>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</si>
  <si>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</si>
  <si>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</si>
  <si>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</si>
  <si>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</si>
  <si>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</si>
  <si>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</si>
  <si>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</si>
  <si>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</si>
  <si>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</si>
  <si>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</si>
  <si>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</si>
  <si>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</si>
  <si>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</si>
  <si>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</si>
  <si>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</si>
  <si>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</si>
  <si>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</si>
  <si>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</si>
  <si>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</si>
  <si>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</si>
  <si>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</si>
  <si>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</si>
  <si>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</si>
  <si>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</si>
  <si>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</si>
  <si>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</si>
  <si>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</si>
  <si>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</si>
  <si>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</si>
  <si>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</si>
  <si>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</si>
  <si>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</si>
  <si>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</si>
  <si>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</si>
  <si>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</si>
  <si>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</si>
  <si>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</si>
  <si>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</si>
  <si>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</si>
  <si>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</si>
  <si>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</si>
  <si>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</si>
  <si>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</si>
  <si>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</si>
  <si>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</si>
  <si>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</si>
  <si>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</si>
  <si>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</si>
  <si>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</si>
  <si>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</si>
  <si>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</si>
  <si>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</si>
  <si>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</si>
  <si>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</si>
  <si>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</si>
  <si>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</si>
  <si>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</si>
  <si>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</si>
  <si>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</si>
  <si>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</si>
  <si>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</si>
  <si>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</si>
  <si>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</si>
  <si>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</si>
  <si>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</si>
  <si>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</si>
  <si>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</si>
  <si>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</si>
  <si>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</si>
  <si>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</si>
  <si>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</si>
  <si>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</si>
  <si>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</si>
  <si>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</si>
  <si>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</si>
  <si>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</si>
  <si>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</si>
  <si>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</si>
  <si>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</si>
  <si>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</si>
  <si>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</si>
  <si>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</si>
  <si>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</si>
  <si>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</si>
  <si>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</si>
  <si>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</si>
  <si>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</si>
  <si>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</si>
  <si>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</si>
  <si>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</si>
  <si>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</si>
  <si>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</si>
  <si>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</si>
  <si>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</si>
  <si>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</si>
  <si>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</si>
  <si>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</si>
  <si>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</si>
  <si>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</si>
  <si>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</si>
  <si>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</si>
  <si>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</si>
  <si>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</si>
  <si>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</si>
  <si>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</si>
  <si>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</si>
  <si>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</si>
  <si>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</si>
  <si>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</si>
  <si>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</si>
  <si>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</si>
  <si>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</si>
  <si>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</si>
  <si>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</si>
  <si>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</si>
  <si>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</si>
  <si>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</si>
  <si>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</si>
  <si>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</si>
  <si>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</si>
  <si>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</si>
  <si>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</si>
  <si>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</si>
  <si>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</si>
  <si>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</si>
  <si>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</si>
  <si>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</si>
  <si>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</si>
  <si>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</si>
  <si>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</si>
  <si>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</si>
  <si>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</si>
  <si>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</si>
  <si>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</si>
  <si>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</si>
  <si>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</si>
  <si>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</si>
  <si>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</si>
  <si>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</si>
  <si>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</si>
  <si>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</si>
  <si>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</si>
  <si>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</si>
  <si>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</si>
  <si>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</si>
  <si>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</si>
  <si>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</si>
  <si>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</si>
  <si>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</si>
  <si>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</si>
  <si>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</si>
  <si>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</si>
  <si>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</si>
  <si>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</si>
  <si>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</si>
  <si>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</si>
  <si>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</si>
  <si>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</si>
  <si>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</si>
  <si>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</si>
  <si>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</si>
  <si>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</si>
  <si>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</si>
  <si>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</si>
  <si>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</si>
  <si>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</si>
  <si>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</si>
  <si>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</si>
  <si>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</si>
  <si>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</si>
  <si>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</si>
  <si>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</si>
  <si>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</si>
  <si>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</si>
  <si>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</si>
  <si>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</si>
  <si>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</si>
  <si>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</si>
  <si>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</si>
  <si>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</si>
  <si>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</si>
  <si>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</si>
  <si>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</si>
  <si>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</si>
  <si>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</si>
  <si>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</si>
  <si>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</si>
  <si>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</si>
  <si>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</si>
  <si>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</si>
  <si>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</si>
  <si>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</si>
  <si>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</si>
  <si>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</si>
  <si>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</si>
  <si>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</si>
  <si>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</si>
  <si>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</si>
  <si>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</si>
  <si>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</si>
  <si>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</si>
  <si>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</si>
  <si>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</si>
  <si>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</si>
  <si>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</si>
  <si>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</si>
  <si>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</si>
  <si>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</si>
  <si>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</si>
  <si>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</si>
  <si>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</si>
  <si>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</si>
  <si>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</si>
  <si>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</si>
  <si>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</si>
  <si>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</si>
  <si>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</si>
  <si>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</si>
  <si>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</si>
  <si>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</si>
  <si>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</si>
  <si>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</si>
  <si>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</si>
  <si>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</si>
  <si>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</si>
  <si>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</si>
  <si>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</si>
  <si>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</si>
  <si>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</si>
  <si>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</si>
  <si>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</si>
  <si>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</si>
  <si>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</si>
  <si>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</si>
  <si>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</si>
  <si>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</si>
  <si>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</si>
  <si>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</si>
  <si>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</si>
  <si>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</si>
  <si>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</si>
  <si>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</si>
  <si>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</si>
  <si>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</si>
  <si>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</si>
  <si>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</si>
  <si>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</si>
  <si>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</si>
  <si>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</si>
  <si>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</si>
  <si>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</si>
  <si>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</si>
  <si>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</si>
  <si>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</si>
  <si>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</si>
  <si>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</si>
  <si>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</si>
  <si>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</si>
  <si>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</si>
  <si>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</si>
  <si>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</si>
  <si>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</si>
  <si>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</si>
  <si>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</si>
  <si>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</si>
  <si>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</si>
  <si>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</si>
  <si>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</si>
  <si>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</si>
  <si>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</si>
  <si>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</si>
  <si>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</si>
  <si>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</si>
  <si>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</si>
  <si>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</si>
  <si>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</si>
  <si>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</si>
  <si>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</si>
  <si>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</si>
  <si>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</si>
  <si>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</si>
  <si>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</si>
  <si>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</si>
  <si>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</si>
  <si>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</si>
  <si>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</si>
  <si>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</si>
  <si>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</si>
  <si>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</si>
  <si>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</si>
  <si>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</si>
  <si>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</si>
  <si>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</si>
  <si>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</si>
  <si>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</si>
  <si>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</si>
  <si>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</si>
  <si>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</si>
  <si>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</si>
  <si>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</si>
  <si>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</si>
  <si>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</si>
  <si>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</si>
  <si>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</si>
  <si>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</si>
  <si>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</si>
  <si>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</si>
  <si>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</si>
  <si>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</si>
  <si>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</si>
  <si>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</si>
  <si>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</si>
  <si>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</si>
  <si>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</si>
  <si>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</si>
  <si>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</si>
  <si>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</si>
  <si>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</si>
  <si>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</si>
  <si>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</si>
  <si>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</si>
  <si>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</si>
  <si>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</si>
  <si>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</si>
  <si>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</si>
  <si>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</si>
  <si>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</si>
  <si>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</si>
  <si>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</si>
  <si>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</si>
  <si>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</si>
  <si>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</si>
  <si>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</si>
  <si>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</si>
  <si>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</si>
  <si>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</si>
  <si>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</si>
  <si>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</si>
  <si>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</si>
  <si>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</si>
  <si>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</si>
  <si>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</si>
  <si>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</si>
  <si>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</si>
  <si>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</si>
  <si>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</si>
  <si>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</si>
  <si>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</si>
  <si>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</si>
  <si>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</si>
  <si>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</si>
  <si>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</si>
  <si>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</si>
  <si>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</si>
  <si>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</si>
  <si>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</si>
  <si>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</si>
  <si>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</si>
  <si>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</si>
  <si>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</si>
  <si>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</si>
  <si>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</si>
  <si>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</si>
  <si>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</si>
  <si>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</si>
  <si>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</si>
  <si>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</si>
  <si>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</si>
  <si>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</si>
  <si>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</si>
  <si>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</si>
  <si>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</si>
  <si>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</si>
  <si>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</si>
  <si>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</si>
  <si>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</si>
  <si>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</si>
  <si>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</si>
  <si>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</si>
  <si>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</si>
  <si>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</si>
  <si>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</si>
  <si>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</si>
  <si>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</si>
  <si>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</si>
  <si>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</si>
  <si>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</si>
  <si>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</si>
  <si>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</si>
  <si>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</si>
  <si>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</si>
  <si>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</si>
  <si>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</si>
  <si>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</si>
  <si>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</si>
  <si>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</si>
  <si>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</si>
  <si>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</si>
  <si>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</si>
  <si>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</si>
  <si>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</si>
  <si>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</si>
  <si>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</si>
  <si>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</si>
  <si>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</si>
  <si>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</si>
  <si>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</si>
  <si>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</si>
  <si>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</si>
  <si>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</si>
  <si>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</si>
  <si>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</si>
  <si>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</si>
  <si>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</si>
  <si>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</si>
  <si>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</si>
  <si>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</si>
  <si>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</si>
  <si>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</si>
  <si>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</si>
  <si>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</si>
  <si>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</si>
  <si>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</si>
  <si>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</si>
  <si>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</si>
  <si>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</si>
  <si>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</si>
  <si>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</si>
  <si>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</si>
  <si>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</si>
  <si>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</si>
  <si>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</si>
  <si>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</si>
  <si>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</si>
  <si>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</si>
  <si>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</si>
  <si>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</si>
  <si>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</si>
  <si>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</si>
  <si>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</si>
  <si>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</si>
  <si>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</si>
  <si>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</si>
  <si>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</si>
  <si>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</si>
  <si>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</si>
  <si>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</si>
  <si>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</si>
  <si>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</si>
  <si>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</si>
  <si>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</si>
  <si>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</si>
  <si>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</si>
  <si>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</si>
  <si>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</si>
  <si>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</si>
  <si>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</si>
  <si>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</si>
  <si>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</si>
  <si>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</si>
  <si>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</si>
  <si>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</si>
  <si>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</si>
  <si>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</si>
  <si>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</si>
  <si>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</si>
  <si>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</si>
  <si>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</si>
  <si>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</si>
  <si>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</si>
  <si>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</si>
  <si>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</si>
  <si>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</si>
  <si>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</si>
  <si>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</si>
  <si>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</si>
  <si>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</si>
  <si>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</si>
  <si>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</si>
  <si>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</si>
  <si>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</si>
  <si>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</si>
  <si>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</si>
  <si>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</si>
  <si>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</si>
  <si>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</si>
  <si>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</si>
  <si>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</si>
  <si>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</si>
  <si>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</si>
  <si>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</si>
  <si>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</si>
  <si>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</si>
  <si>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</si>
  <si>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</si>
  <si>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</si>
  <si>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</si>
  <si>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</si>
  <si>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</si>
  <si>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</si>
  <si>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</si>
  <si>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</si>
  <si>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</si>
  <si>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</si>
  <si>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</si>
  <si>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</si>
  <si>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</si>
  <si>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</si>
  <si>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</si>
  <si>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</si>
  <si>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</si>
  <si>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</si>
  <si>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</si>
  <si>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</si>
  <si>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</si>
  <si>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</si>
  <si>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</si>
  <si>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</si>
  <si>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</si>
  <si>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</si>
  <si>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</si>
  <si>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</si>
  <si>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</si>
  <si>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</si>
  <si>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</si>
  <si>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</si>
  <si>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</si>
  <si>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</si>
  <si>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</si>
  <si>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</si>
  <si>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</si>
  <si>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</si>
  <si>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</si>
  <si>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</si>
  <si>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</si>
  <si>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</si>
  <si>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</si>
  <si>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</si>
  <si>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</si>
  <si>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</si>
  <si>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</si>
  <si>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</si>
  <si>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</si>
  <si>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</si>
  <si>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</si>
  <si>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</si>
  <si>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</si>
  <si>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</si>
  <si>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</si>
  <si>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</si>
  <si>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</si>
  <si>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</si>
  <si>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</si>
  <si>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</si>
  <si>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</si>
  <si>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</si>
  <si>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</si>
  <si>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</si>
  <si>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</si>
  <si>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</si>
  <si>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</si>
  <si>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</si>
  <si>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</si>
  <si>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</si>
  <si>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</si>
  <si>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</si>
  <si>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</si>
  <si>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</si>
  <si>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</si>
  <si>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</si>
  <si>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</si>
  <si>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</si>
  <si>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</si>
  <si>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</si>
  <si>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</si>
  <si>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</si>
  <si>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</si>
  <si>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</si>
  <si>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</si>
  <si>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</si>
  <si>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</si>
  <si>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</si>
  <si>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</si>
  <si>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</si>
  <si>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</si>
  <si>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</si>
  <si>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</si>
  <si>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</si>
  <si>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</si>
  <si>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</si>
  <si>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</si>
  <si>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</si>
  <si>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</si>
  <si>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</si>
  <si>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</si>
  <si>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</si>
  <si>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</si>
  <si>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</si>
  <si>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</si>
  <si>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</si>
  <si>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</si>
  <si>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</si>
  <si>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</si>
  <si>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</si>
  <si>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</si>
  <si>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</si>
  <si>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</si>
  <si>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</si>
  <si>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</si>
  <si>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</si>
  <si>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</si>
  <si>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</si>
  <si>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</si>
  <si>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</si>
  <si>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</si>
  <si>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</si>
  <si>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</si>
  <si>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</si>
  <si>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</si>
  <si>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</si>
  <si>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</si>
  <si>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</si>
  <si>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</si>
  <si>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</si>
  <si>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</si>
  <si>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</si>
  <si>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</si>
  <si>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</si>
  <si>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</si>
  <si>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</si>
  <si>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</si>
  <si>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</si>
  <si>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</si>
  <si>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</si>
  <si>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</si>
  <si>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</si>
  <si>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</si>
  <si>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</si>
  <si>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</si>
  <si>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</si>
  <si>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</si>
  <si>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</si>
  <si>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</si>
  <si>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</si>
  <si>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</si>
  <si>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</si>
  <si>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</si>
  <si>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</si>
  <si>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</si>
  <si>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</si>
  <si>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</si>
  <si>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</si>
  <si>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</si>
  <si>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</si>
  <si>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</si>
  <si>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</si>
  <si>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</si>
  <si>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</si>
  <si>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</si>
  <si>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</si>
  <si>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</si>
  <si>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</si>
  <si>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</si>
  <si>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</si>
  <si>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</si>
  <si>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</si>
  <si>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</si>
  <si>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</si>
  <si>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</si>
  <si>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</si>
  <si>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</si>
  <si>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</si>
  <si>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</si>
  <si>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</si>
  <si>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</si>
  <si>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</si>
  <si>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</si>
  <si>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</si>
  <si>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</si>
  <si>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</si>
  <si>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</si>
  <si>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</si>
  <si>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</si>
  <si>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</si>
  <si>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</si>
  <si>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</si>
  <si>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</si>
  <si>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</si>
  <si>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</si>
  <si>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</si>
  <si>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</si>
  <si>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</si>
  <si>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</si>
  <si>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</si>
  <si>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</si>
  <si>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</si>
  <si>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</si>
  <si>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</si>
  <si>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</si>
  <si>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</si>
  <si>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</si>
  <si>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</si>
  <si>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</si>
  <si>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</si>
  <si>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</si>
  <si>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</si>
  <si>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</si>
  <si>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</si>
  <si>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</si>
  <si>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</si>
  <si>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</si>
  <si>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</si>
  <si>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</si>
  <si>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</si>
  <si>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</si>
  <si>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</si>
  <si>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</si>
  <si>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</si>
  <si>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</si>
  <si>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</si>
  <si>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</si>
  <si>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</si>
  <si>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</si>
  <si>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</si>
  <si>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</si>
  <si>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</si>
  <si>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</si>
  <si>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</si>
  <si>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</si>
  <si>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</si>
  <si>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</si>
  <si>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</si>
  <si>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</si>
  <si>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</si>
  <si>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</si>
  <si>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</si>
  <si>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</si>
  <si>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</si>
  <si>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</si>
  <si>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</si>
  <si>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</si>
  <si>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</si>
  <si>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</si>
  <si>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</si>
  <si>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</si>
  <si>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</si>
  <si>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</si>
  <si>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</si>
  <si>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</si>
  <si>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</si>
  <si>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</si>
  <si>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</si>
  <si>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</si>
  <si>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</si>
  <si>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</si>
  <si>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</si>
  <si>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</si>
  <si>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</si>
  <si>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</si>
  <si>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</si>
  <si>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</si>
  <si>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</si>
  <si>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</si>
  <si>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</si>
  <si>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</si>
  <si>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</si>
  <si>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</si>
  <si>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</si>
  <si>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</si>
  <si>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</si>
  <si>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</si>
  <si>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</si>
  <si>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</si>
  <si>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</si>
  <si>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</si>
  <si>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</si>
  <si>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</si>
  <si>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</si>
  <si>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</si>
  <si>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</si>
  <si>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</si>
  <si>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</si>
  <si>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</si>
  <si>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</si>
  <si>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</si>
  <si>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</si>
  <si>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</si>
  <si>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</si>
  <si>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</si>
  <si>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</si>
  <si>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</si>
  <si>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</si>
  <si>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</si>
  <si>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</si>
  <si>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</si>
  <si>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</si>
  <si>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</si>
  <si>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</si>
  <si>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</si>
  <si>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</si>
  <si>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</si>
  <si>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</si>
  <si>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</si>
  <si>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</si>
  <si>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</si>
  <si>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</si>
  <si>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</si>
  <si>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</si>
  <si>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</si>
  <si>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</si>
  <si>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</si>
  <si>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</si>
  <si>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</si>
  <si>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</si>
  <si>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</si>
  <si>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</si>
  <si>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</si>
  <si>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</si>
  <si>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</si>
  <si>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</si>
  <si>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</si>
  <si>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</si>
  <si>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</si>
  <si>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</si>
  <si>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</si>
  <si>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</si>
  <si>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</si>
  <si>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</si>
  <si>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</si>
  <si>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</si>
  <si>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</si>
  <si>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</si>
  <si>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</si>
  <si>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</si>
  <si>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</si>
  <si>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</si>
  <si>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</si>
  <si>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</si>
  <si>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</si>
  <si>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</si>
  <si>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</si>
  <si>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</si>
  <si>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</si>
  <si>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</si>
  <si>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</si>
  <si>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</si>
  <si>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</si>
  <si>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</si>
  <si>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</si>
  <si>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</si>
  <si>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</si>
  <si>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</si>
  <si>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</si>
  <si>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</si>
  <si>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</si>
  <si>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</si>
  <si>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</si>
  <si>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</si>
  <si>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</si>
  <si>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</si>
  <si>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</si>
  <si>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</si>
  <si>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</si>
  <si>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</si>
  <si>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</si>
  <si>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</si>
  <si>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</si>
  <si>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</si>
  <si>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</si>
  <si>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</si>
  <si>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</si>
  <si>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</si>
  <si>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</si>
  <si>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</si>
  <si>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</si>
  <si>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</si>
  <si>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</si>
  <si>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</si>
  <si>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</si>
  <si>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</si>
  <si>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</si>
  <si>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</si>
  <si>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</si>
  <si>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</si>
  <si>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</si>
  <si>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</si>
  <si>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</si>
  <si>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</si>
  <si>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</si>
  <si>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</si>
  <si>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</si>
  <si>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</si>
  <si>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</si>
  <si>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</si>
  <si>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</si>
  <si>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</si>
  <si>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</si>
  <si>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</si>
  <si>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</si>
  <si>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</si>
  <si>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</si>
  <si>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</si>
  <si>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</si>
  <si>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</si>
  <si>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</si>
  <si>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</si>
  <si>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</si>
  <si>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</si>
  <si>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</si>
  <si>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</si>
  <si>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</si>
  <si>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</si>
  <si>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</si>
  <si>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</si>
  <si>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</si>
  <si>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</si>
  <si>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</si>
  <si>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</si>
  <si>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</si>
  <si>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</si>
  <si>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</si>
  <si>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</si>
  <si>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</si>
  <si>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</si>
  <si>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</si>
  <si>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</si>
  <si>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</si>
  <si>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</si>
  <si>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</si>
  <si>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</si>
  <si>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</si>
  <si>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</si>
  <si>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</si>
  <si>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</si>
  <si>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</si>
  <si>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</si>
  <si>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</si>
  <si>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</si>
  <si>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</si>
  <si>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</si>
  <si>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</si>
  <si>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</si>
  <si>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</si>
  <si>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</si>
  <si>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</si>
  <si>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</si>
  <si>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</si>
  <si>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</si>
  <si>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</si>
  <si>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</si>
  <si>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</si>
  <si>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</si>
  <si>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</si>
  <si>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</si>
  <si>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</si>
  <si>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</si>
  <si>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</si>
  <si>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</si>
  <si>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</si>
  <si>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</si>
  <si>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</si>
  <si>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</si>
  <si>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</si>
  <si>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</si>
  <si>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</si>
  <si>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</si>
  <si>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</si>
  <si>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</si>
  <si>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</si>
  <si>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</si>
  <si>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</si>
  <si>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</si>
  <si>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</si>
  <si>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</si>
  <si>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</si>
  <si>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</si>
  <si>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</si>
  <si>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</si>
  <si>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</si>
  <si>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</si>
  <si>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</si>
  <si>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</si>
  <si>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</si>
  <si>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</si>
  <si>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</si>
  <si>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</si>
  <si>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</si>
  <si>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</si>
  <si>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</si>
  <si>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</si>
  <si>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</si>
  <si>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</si>
  <si>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</si>
  <si>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</si>
  <si>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</si>
  <si>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</si>
  <si>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</si>
  <si>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</si>
  <si>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</si>
  <si>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</si>
  <si>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</si>
  <si>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</si>
  <si>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</si>
  <si>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</si>
  <si>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</si>
  <si>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</si>
  <si>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</si>
  <si>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</si>
  <si>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</si>
  <si>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</si>
  <si>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</si>
  <si>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</si>
  <si>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</si>
  <si>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</si>
  <si>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</si>
  <si>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</si>
  <si>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</si>
  <si>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</si>
  <si>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</si>
  <si>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</si>
  <si>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</si>
  <si>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</si>
  <si>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</si>
  <si>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</si>
  <si>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</si>
  <si>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</si>
  <si>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</si>
  <si>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</si>
  <si>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</si>
  <si>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</si>
  <si>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</si>
  <si>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</si>
  <si>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</si>
  <si>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</si>
  <si>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</si>
  <si>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</si>
  <si>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</si>
  <si>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</si>
  <si>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</si>
  <si>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</si>
  <si>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</si>
  <si>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</si>
  <si>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</si>
  <si>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</si>
  <si>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</si>
  <si>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</si>
  <si>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</si>
  <si>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</si>
  <si>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</si>
  <si>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</si>
  <si>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</si>
  <si>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</si>
  <si>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</si>
  <si>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</si>
  <si>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</si>
  <si>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</si>
  <si>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</si>
  <si>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</si>
  <si>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</si>
  <si>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</si>
  <si>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</si>
  <si>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</si>
  <si>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</si>
  <si>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</si>
  <si>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</si>
  <si>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</si>
  <si>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</si>
  <si>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</si>
  <si>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</si>
  <si>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</si>
  <si>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</si>
  <si>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</si>
  <si>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</si>
  <si>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</si>
  <si>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</si>
  <si>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</si>
  <si>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</si>
  <si>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</si>
  <si>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</si>
  <si>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</si>
  <si>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</si>
  <si>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</si>
  <si>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</si>
  <si>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</si>
  <si>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</si>
  <si>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</si>
  <si>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</si>
  <si>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</si>
  <si>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</si>
  <si>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</si>
  <si>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</si>
  <si>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</si>
  <si>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</si>
  <si>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</si>
  <si>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</si>
  <si>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</si>
  <si>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</si>
  <si>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</si>
  <si>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</si>
  <si>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</si>
  <si>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</si>
  <si>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</si>
  <si>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</si>
  <si>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</si>
  <si>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</si>
  <si>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</si>
  <si>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</si>
  <si>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</si>
  <si>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</si>
  <si>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</si>
  <si>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</si>
  <si>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</si>
  <si>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</si>
  <si>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</si>
  <si>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</si>
  <si>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</si>
  <si>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</si>
  <si>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</si>
  <si>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</si>
  <si>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</si>
  <si>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</si>
  <si>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</si>
  <si>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</si>
  <si>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</si>
  <si>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</si>
  <si>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</si>
  <si>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</si>
  <si>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</si>
  <si>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</si>
  <si>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</si>
  <si>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</si>
  <si>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</si>
  <si>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</si>
  <si>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</si>
  <si>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</si>
  <si>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</si>
  <si>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</si>
  <si>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</si>
  <si>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</si>
  <si>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</si>
  <si>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</si>
  <si>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</si>
  <si>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</si>
  <si>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</si>
  <si>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</si>
  <si>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</si>
  <si>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</si>
  <si>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</si>
  <si>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</si>
  <si>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</si>
  <si>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</si>
  <si>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</si>
  <si>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</si>
  <si>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</si>
  <si>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</si>
  <si>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</si>
  <si>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</si>
  <si>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</si>
  <si>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</si>
  <si>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</si>
  <si>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</si>
  <si>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</si>
  <si>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</si>
  <si>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</si>
  <si>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</si>
  <si>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</si>
  <si>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</si>
  <si>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</si>
  <si>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</si>
  <si>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</si>
  <si>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</si>
  <si>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</si>
  <si>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</si>
  <si>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</si>
  <si>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</si>
  <si>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</si>
  <si>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</si>
  <si>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</si>
  <si>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</si>
  <si>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</si>
  <si>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</si>
  <si>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</si>
  <si>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</si>
  <si>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</si>
  <si>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</si>
  <si>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</si>
  <si>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</si>
  <si>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</si>
  <si>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</si>
  <si>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</si>
  <si>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</si>
  <si>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</si>
  <si>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</si>
  <si>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</si>
  <si>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</si>
  <si>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</si>
  <si>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</si>
  <si>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</si>
  <si>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</si>
  <si>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</si>
  <si>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</si>
  <si>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</si>
  <si>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</si>
  <si>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</si>
  <si>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</si>
  <si>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</si>
  <si>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</si>
  <si>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</si>
  <si>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</si>
  <si>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</si>
  <si>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</si>
  <si>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</si>
  <si>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</si>
  <si>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</si>
  <si>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</si>
  <si>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</si>
  <si>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</si>
  <si>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</si>
  <si>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</si>
  <si>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</si>
  <si>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</si>
  <si>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</si>
  <si>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</si>
  <si>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</si>
  <si>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</si>
  <si>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</si>
  <si>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</si>
  <si>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</si>
  <si>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</si>
  <si>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</si>
  <si>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</si>
  <si>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</si>
  <si>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</si>
  <si>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</si>
  <si>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</si>
  <si>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</si>
  <si>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</si>
  <si>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</si>
  <si>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</si>
  <si>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</si>
  <si>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</si>
  <si>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</si>
  <si>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</si>
  <si>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</si>
  <si>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</si>
  <si>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</si>
  <si>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</si>
  <si>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</si>
  <si>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</si>
  <si>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</si>
  <si>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</si>
  <si>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</si>
  <si>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</si>
  <si>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</si>
  <si>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</si>
  <si>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</si>
  <si>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</si>
  <si>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</si>
  <si>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</si>
  <si>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</si>
  <si>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</si>
  <si>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</si>
  <si>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</si>
  <si>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</si>
  <si>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</si>
  <si>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</si>
  <si>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</si>
  <si>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</si>
  <si>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</si>
  <si>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</si>
  <si>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</si>
  <si>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</si>
  <si>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</si>
  <si>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</si>
  <si>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</si>
  <si>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</si>
  <si>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</si>
  <si>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</si>
  <si>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</si>
  <si>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</si>
  <si>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</si>
  <si>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</si>
  <si>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</si>
  <si>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</si>
  <si>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</si>
  <si>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</si>
  <si>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</si>
  <si>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</si>
  <si>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</si>
  <si>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</si>
  <si>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</si>
  <si>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</si>
  <si>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</si>
  <si>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</si>
  <si>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</si>
  <si>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</si>
  <si>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</si>
  <si>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</si>
  <si>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</si>
  <si>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</si>
  <si>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</si>
  <si>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</si>
  <si>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</si>
  <si>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</si>
  <si>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</si>
  <si>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</si>
  <si>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</si>
  <si>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</si>
  <si>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</si>
  <si>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</si>
  <si>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</si>
  <si>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</si>
  <si>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</si>
  <si>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</si>
  <si>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</si>
  <si>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</si>
  <si>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</si>
  <si>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</si>
  <si>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</si>
  <si>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</si>
  <si>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</si>
  <si>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</si>
  <si>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</si>
  <si>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</si>
  <si>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</si>
  <si>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</si>
  <si>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</si>
  <si>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</si>
  <si>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</si>
  <si>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</si>
  <si>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</si>
  <si>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</si>
  <si>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</si>
  <si>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</si>
  <si>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</si>
  <si>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</si>
  <si>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</si>
  <si>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</si>
  <si>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</si>
  <si>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</si>
  <si>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</si>
  <si>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</si>
  <si>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</si>
  <si>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</si>
  <si>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</si>
  <si>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</si>
  <si>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</si>
  <si>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</si>
  <si>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</si>
  <si>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</si>
  <si>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</si>
  <si>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</si>
  <si>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</si>
  <si>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</si>
  <si>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</si>
  <si>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</si>
  <si>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</si>
  <si>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</si>
  <si>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</si>
  <si>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</si>
  <si>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</si>
  <si>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</si>
  <si>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</si>
  <si>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</si>
  <si>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</si>
  <si>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</si>
  <si>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</si>
  <si>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</si>
  <si>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</si>
  <si>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</si>
  <si>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</si>
  <si>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</si>
  <si>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</si>
  <si>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</si>
  <si>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</si>
  <si>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</si>
  <si>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</si>
  <si>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</si>
  <si>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</si>
  <si>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</si>
  <si>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</si>
  <si>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</si>
  <si>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</si>
  <si>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</si>
  <si>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</si>
  <si>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</si>
  <si>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</si>
  <si>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</si>
  <si>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</si>
  <si>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</si>
  <si>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</si>
  <si>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</si>
  <si>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</si>
  <si>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</si>
  <si>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</si>
  <si>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</si>
  <si>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</si>
  <si>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</si>
  <si>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</si>
  <si>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</si>
  <si>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</si>
  <si>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</si>
  <si>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</si>
  <si>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</si>
  <si>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</si>
  <si>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</si>
  <si>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</si>
  <si>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</si>
  <si>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</si>
  <si>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</si>
  <si>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</si>
  <si>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</si>
  <si>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</si>
  <si>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</si>
  <si>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</si>
  <si>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</si>
  <si>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</si>
  <si>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</si>
  <si>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</si>
  <si>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</si>
  <si>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</si>
  <si>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</si>
  <si>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</si>
  <si>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</si>
  <si>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</si>
  <si>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</si>
  <si>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</si>
  <si>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</si>
  <si>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</si>
  <si>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</si>
  <si>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</si>
  <si>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</si>
  <si>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</si>
  <si>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</si>
  <si>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</si>
  <si>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</si>
  <si>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</si>
  <si>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</si>
  <si>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</si>
  <si>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</si>
  <si>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</si>
  <si>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</si>
  <si>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</si>
  <si>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</si>
  <si>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</si>
  <si>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</si>
  <si>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</si>
  <si>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</si>
  <si>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</si>
  <si>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</si>
  <si>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</si>
  <si>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</si>
  <si>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</si>
  <si>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</si>
  <si>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</si>
  <si>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</si>
  <si>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</si>
  <si>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</si>
  <si>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</si>
  <si>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</si>
  <si>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</si>
  <si>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</si>
  <si>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</si>
  <si>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</si>
  <si>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</si>
  <si>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</si>
  <si>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</si>
  <si>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</si>
  <si>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</si>
  <si>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</si>
  <si>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</si>
  <si>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</si>
  <si>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</si>
  <si>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</si>
  <si>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</si>
  <si>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</si>
  <si>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</si>
  <si>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</si>
  <si>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</si>
  <si>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</si>
  <si>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</si>
  <si>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</si>
  <si>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</si>
  <si>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</si>
  <si>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</si>
  <si>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</si>
  <si>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</si>
  <si>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</si>
  <si>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</si>
  <si>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</si>
  <si>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</si>
  <si>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</si>
  <si>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</si>
  <si>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</si>
  <si>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</si>
  <si>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</si>
  <si>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</si>
  <si>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</si>
  <si>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</si>
  <si>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</si>
  <si>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</si>
  <si>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</si>
  <si>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</si>
  <si>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</si>
  <si>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</si>
  <si>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</si>
  <si>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</si>
  <si>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</si>
  <si>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</si>
  <si>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</si>
  <si>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</si>
  <si>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</si>
  <si>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</si>
  <si>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</si>
  <si>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</si>
  <si>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</si>
  <si>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</si>
  <si>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</si>
  <si>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</si>
  <si>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</si>
  <si>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</si>
  <si>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</si>
  <si>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</si>
  <si>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</si>
  <si>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</si>
  <si>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</si>
  <si>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</si>
  <si>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</si>
  <si>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</si>
  <si>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</si>
  <si>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</si>
  <si>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</si>
  <si>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</si>
  <si>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</si>
  <si>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</si>
  <si>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</si>
  <si>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</si>
  <si>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</si>
  <si>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</si>
  <si>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</si>
  <si>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</si>
  <si>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</si>
  <si>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</si>
  <si>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</si>
  <si>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</si>
  <si>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</si>
  <si>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</si>
  <si>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</si>
  <si>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</si>
  <si>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</si>
  <si>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</si>
  <si>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</si>
  <si>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</si>
  <si>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</si>
  <si>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</si>
  <si>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</si>
  <si>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</si>
  <si>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</si>
  <si>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</si>
  <si>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</si>
  <si>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</si>
  <si>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</si>
  <si>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</si>
  <si>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</si>
  <si>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</si>
  <si>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</si>
  <si>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</si>
  <si>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</si>
  <si>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</si>
  <si>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</si>
  <si>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</si>
  <si>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</si>
  <si>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</si>
  <si>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</si>
  <si>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</si>
  <si>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</si>
  <si>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</si>
  <si>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</si>
  <si>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</si>
  <si>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</si>
  <si>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</si>
  <si>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</si>
  <si>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</si>
  <si>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</si>
  <si>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</si>
  <si>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</si>
  <si>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</si>
  <si>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</si>
  <si>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</si>
  <si>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</si>
  <si>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</si>
  <si>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</si>
  <si>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</si>
  <si>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</si>
  <si>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</si>
  <si>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</si>
  <si>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</si>
  <si>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</si>
  <si>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</si>
  <si>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</si>
  <si>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</si>
  <si>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</si>
  <si>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</si>
  <si>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</si>
  <si>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</si>
  <si>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</si>
  <si>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</si>
  <si>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</si>
  <si>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</si>
  <si>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</si>
  <si>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</si>
  <si>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</si>
  <si>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</si>
  <si>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</si>
  <si>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</si>
  <si>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</si>
  <si>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</si>
  <si>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</si>
  <si>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</si>
  <si>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</si>
  <si>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</si>
  <si>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</si>
  <si>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</si>
  <si>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</si>
  <si>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</si>
  <si>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</si>
  <si>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</si>
  <si>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</si>
  <si>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</si>
  <si>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</si>
  <si>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</si>
  <si>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</si>
  <si>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</si>
  <si>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</si>
  <si>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</si>
  <si>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</si>
  <si>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</si>
  <si>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</si>
  <si>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</si>
  <si>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</si>
  <si>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</si>
  <si>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</si>
  <si>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</si>
  <si>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</si>
  <si>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</si>
  <si>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</si>
  <si>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</si>
  <si>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</si>
  <si>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</si>
  <si>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</si>
  <si>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</si>
  <si>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</si>
  <si>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</si>
  <si>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</si>
  <si>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</si>
  <si>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</si>
  <si>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</si>
  <si>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</si>
  <si>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</si>
  <si>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</si>
  <si>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</si>
  <si>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</si>
  <si>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</si>
  <si>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</si>
  <si>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</si>
  <si>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</si>
  <si>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</si>
  <si>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</si>
  <si>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</si>
  <si>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</si>
  <si>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</si>
  <si>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</si>
  <si>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</si>
  <si>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</si>
  <si>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</si>
  <si>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</si>
  <si>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</si>
  <si>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</si>
  <si>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</si>
  <si>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</si>
  <si>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</si>
  <si>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</si>
  <si>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</si>
  <si>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</si>
  <si>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</si>
  <si>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</si>
  <si>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</si>
  <si>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</si>
  <si>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</si>
  <si>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</si>
  <si>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</si>
  <si>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</si>
  <si>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</si>
  <si>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</si>
  <si>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</si>
  <si>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</si>
  <si>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</si>
  <si>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</si>
  <si>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</si>
  <si>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</si>
  <si>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</si>
  <si>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</si>
  <si>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</si>
  <si>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</si>
  <si>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</si>
  <si>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</si>
  <si>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</si>
  <si>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</si>
  <si>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</si>
  <si>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</si>
  <si>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</si>
  <si>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</si>
  <si>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</si>
  <si>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</si>
  <si>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</si>
  <si>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</si>
  <si>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</si>
  <si>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</si>
  <si>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</si>
  <si>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</si>
  <si>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</si>
  <si>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</si>
  <si>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</si>
  <si>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</si>
  <si>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</si>
  <si>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</si>
  <si>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</si>
  <si>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</si>
  <si>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</si>
  <si>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</si>
  <si>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</si>
  <si>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</si>
  <si>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</si>
  <si>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</si>
  <si>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</si>
  <si>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</si>
  <si>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</si>
  <si>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</si>
  <si>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</si>
  <si>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</si>
  <si>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</si>
  <si>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</si>
  <si>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</si>
  <si>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</si>
  <si>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</si>
  <si>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</si>
  <si>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</si>
  <si>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</si>
  <si>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</si>
  <si>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</si>
  <si>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</si>
  <si>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</si>
  <si>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</si>
  <si>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</si>
  <si>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</si>
  <si>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</si>
  <si>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</si>
  <si>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</si>
  <si>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</si>
  <si>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</si>
  <si>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</si>
  <si>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</si>
  <si>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</si>
  <si>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</si>
  <si>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</si>
  <si>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</si>
  <si>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</si>
  <si>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</si>
  <si>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</si>
  <si>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</si>
  <si>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</si>
  <si>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</si>
  <si>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</si>
  <si>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</si>
  <si>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</si>
  <si>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</si>
  <si>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</si>
  <si>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</si>
  <si>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</si>
  <si>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</si>
  <si>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</si>
  <si>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</si>
  <si>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</si>
  <si>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</si>
  <si>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</si>
  <si>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</si>
  <si>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</si>
  <si>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</si>
  <si>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</si>
  <si>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</si>
  <si>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</si>
  <si>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</si>
  <si>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</si>
  <si>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</si>
  <si>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</si>
  <si>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</si>
  <si>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</si>
  <si>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</si>
  <si>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</si>
  <si>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</si>
  <si>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</si>
  <si>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</si>
  <si>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</si>
  <si>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</si>
  <si>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</si>
  <si>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</si>
  <si>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</si>
  <si>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</si>
  <si>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</si>
  <si>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</si>
  <si>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</si>
  <si>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</si>
  <si>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</si>
  <si>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</si>
  <si>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</si>
  <si>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</si>
  <si>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</si>
  <si>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</si>
  <si>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</si>
  <si>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</si>
  <si>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</si>
  <si>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</si>
  <si>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</si>
  <si>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</si>
  <si>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</si>
  <si>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</si>
  <si>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</si>
  <si>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</si>
  <si>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</si>
  <si>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</si>
  <si>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</si>
  <si>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</si>
  <si>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</si>
  <si>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</si>
  <si>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</si>
  <si>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</si>
  <si>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</si>
  <si>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</si>
  <si>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</si>
  <si>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</si>
  <si>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</si>
  <si>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</si>
  <si>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</si>
  <si>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</si>
  <si>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</si>
  <si>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</si>
  <si>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</si>
  <si>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</si>
  <si>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</si>
  <si>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</si>
  <si>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</si>
  <si>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</si>
  <si>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</si>
  <si>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</si>
  <si>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</si>
  <si>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</si>
  <si>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</si>
  <si>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</si>
  <si>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</si>
  <si>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</si>
  <si>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</si>
  <si>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</si>
  <si>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</si>
  <si>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</si>
  <si>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</si>
  <si>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</si>
  <si>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</si>
  <si>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</si>
  <si>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</si>
  <si>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</si>
  <si>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</si>
  <si>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</si>
  <si>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</si>
  <si>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</si>
  <si>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</si>
  <si>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</si>
  <si>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</si>
  <si>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</si>
  <si>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</si>
  <si>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</si>
  <si>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</si>
  <si>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</si>
  <si>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</si>
  <si>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</si>
  <si>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</si>
  <si>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</si>
  <si>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</si>
  <si>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</si>
  <si>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</si>
  <si>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</si>
  <si>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</si>
  <si>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</si>
  <si>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</si>
  <si>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</si>
  <si>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</si>
  <si>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</si>
  <si>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</si>
  <si>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</si>
  <si>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</si>
  <si>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</si>
  <si>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</si>
  <si>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</si>
  <si>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</si>
  <si>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</si>
  <si>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</si>
  <si>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</si>
  <si>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</si>
  <si>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</si>
  <si>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</si>
  <si>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</si>
  <si>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</si>
  <si>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</si>
  <si>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</si>
  <si>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</si>
  <si>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</si>
  <si>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</si>
  <si>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</si>
  <si>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</si>
  <si>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</si>
  <si>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</si>
  <si>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</si>
  <si>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</si>
  <si>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</si>
  <si>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</si>
  <si>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</si>
  <si>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</si>
  <si>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</si>
  <si>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</si>
  <si>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</si>
  <si>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</si>
  <si>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</si>
  <si>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</si>
  <si>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</si>
  <si>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</si>
  <si>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</si>
  <si>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</si>
  <si>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</si>
  <si>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</si>
  <si>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</si>
  <si>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</si>
  <si>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</si>
  <si>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</si>
  <si>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</si>
  <si>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</si>
  <si>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</si>
  <si>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</si>
  <si>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</si>
  <si>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</si>
  <si>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</si>
  <si>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</si>
  <si>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</si>
  <si>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</si>
  <si>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</si>
  <si>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</si>
  <si>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</si>
  <si>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</si>
  <si>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</si>
  <si>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</si>
  <si>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</si>
  <si>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</si>
  <si>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</si>
  <si>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</si>
  <si>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</si>
  <si>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</si>
  <si>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</si>
  <si>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</si>
  <si>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</si>
  <si>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</si>
  <si>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</si>
  <si>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</si>
  <si>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</si>
  <si>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</si>
  <si>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</si>
  <si>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</si>
  <si>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</si>
  <si>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</si>
  <si>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</si>
  <si>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</si>
  <si>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自然人</t>
  </si>
  <si>
    <t>是</t>
  </si>
  <si>
    <t>地上</t>
  </si>
  <si>
    <t>其他</t>
    <phoneticPr fontId="7" type="noConversion"/>
  </si>
  <si>
    <t>成新度</t>
  </si>
  <si>
    <t>售价</t>
  </si>
  <si>
    <t>单套模式</t>
  </si>
  <si>
    <t>押一</t>
  </si>
  <si>
    <t>钢混</t>
  </si>
  <si>
    <t>非生产用房</t>
  </si>
  <si>
    <t>否</t>
  </si>
  <si>
    <t>收益法 (元)</t>
  </si>
  <si>
    <t>比较法-办公</t>
  </si>
  <si>
    <t>楼面单价</t>
  </si>
  <si>
    <t>收益比率</t>
  </si>
  <si>
    <t>绿地启航国际</t>
    <phoneticPr fontId="3" type="noConversion"/>
  </si>
  <si>
    <t>正常</t>
  </si>
  <si>
    <t>较好</t>
  </si>
  <si>
    <t>挂牌</t>
  </si>
  <si>
    <t>工业立项办公</t>
  </si>
  <si>
    <t>35-40</t>
  </si>
  <si>
    <t>独栋办公楼</t>
  </si>
  <si>
    <t>标准</t>
  </si>
  <si>
    <t>普装</t>
  </si>
  <si>
    <t>泰达科技园</t>
    <phoneticPr fontId="3" type="noConversion"/>
  </si>
  <si>
    <t>商业立项办公</t>
    <phoneticPr fontId="31" type="noConversion"/>
  </si>
  <si>
    <t>挂牌</t>
    <phoneticPr fontId="31" type="noConversion"/>
  </si>
  <si>
    <t>工业立项办公</t>
    <phoneticPr fontId="31" type="noConversion"/>
  </si>
  <si>
    <t>七通</t>
  </si>
  <si>
    <t>30-35</t>
  </si>
  <si>
    <t>25-30</t>
  </si>
  <si>
    <t>精装</t>
  </si>
  <si>
    <t>简装</t>
  </si>
  <si>
    <t>毛坯</t>
  </si>
  <si>
    <t>单一产权</t>
    <phoneticPr fontId="31" type="noConversion"/>
  </si>
  <si>
    <t>散售</t>
    <phoneticPr fontId="31" type="noConversion"/>
  </si>
  <si>
    <t>项目状况</t>
    <phoneticPr fontId="31" type="noConversion"/>
  </si>
  <si>
    <t>25-30</t>
    <phoneticPr fontId="31" type="noConversion"/>
  </si>
  <si>
    <t>融慧园</t>
    <phoneticPr fontId="3" type="noConversion"/>
  </si>
  <si>
    <t>钢混</t>
    <phoneticPr fontId="31" type="noConversion"/>
  </si>
  <si>
    <t>精装</t>
    <phoneticPr fontId="31" type="noConversion"/>
  </si>
  <si>
    <t>专业</t>
    <phoneticPr fontId="31" type="noConversion"/>
  </si>
  <si>
    <t>现房</t>
  </si>
  <si>
    <t>项目局部</t>
  </si>
  <si>
    <t>国家对外文化基地</t>
  </si>
  <si>
    <t>标准</t>
    <phoneticPr fontId="31" type="noConversion"/>
  </si>
  <si>
    <t>超高</t>
  </si>
  <si>
    <t>超高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</si>
</sst>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0" fillId="0" borderId="0">
      <alignment vertical="center"/>
    </xf>
    <xf numFmtId="0" fontId="270" fillId="0" borderId="0">
      <alignment vertical="center"/>
    </xf>
    <xf numFmtId="0" fontId="270" fillId="0" borderId="0">
      <alignment vertical="center"/>
    </xf>
    <xf numFmtId="0" fontId="270" fillId="0" borderId="0">
      <alignment vertical="center"/>
    </xf>
    <xf numFmtId="0" fontId="95" fillId="0" borderId="0"/>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6" fontId="47" fillId="6" borderId="0" xfId="0" applyNumberFormat="1" applyFont="1" applyFill="1" applyProtection="1">
      <alignment vertical="center"/>
      <protection locked="0"/>
    </xf>
    <xf numFmtId="0" fontId="166" fillId="0" borderId="24" xfId="10" applyFont="1" applyBorder="1" applyAlignment="1" applyProtection="1">
      <alignment horizontal="center" vertical="center" wrapText="1"/>
      <protection locked="0"/>
    </xf>
    <xf numFmtId="0" fontId="208" fillId="0" borderId="23"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cellXfs>
  <cellStyles count="25">
    <cellStyle name="百分比" xfId="17" builtinId="5"/>
    <cellStyle name="百分比 2" xfId="14" xr:uid="{00000000-0005-0000-0000-000001000000}"/>
    <cellStyle name="百分比 3" xfId="19" xr:uid="{FAB96EA9-F620-4CB9-8062-5FDB53D9C4C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2" xr:uid="{DD1B4CF3-DF6E-4E16-9736-3C894C342FEA}"/>
    <cellStyle name="常规 6 2 3" xfId="13" xr:uid="{00000000-0005-0000-0000-00000F000000}"/>
    <cellStyle name="常规 6 2 3 2" xfId="21" xr:uid="{E24801EE-3880-4A86-B93C-919E623ADA53}"/>
    <cellStyle name="常规 6 2 4" xfId="20" xr:uid="{EE2CA512-0BC7-4141-9F93-CAA7D610BE86}"/>
    <cellStyle name="常规 7" xfId="7" xr:uid="{00000000-0005-0000-0000-000010000000}"/>
    <cellStyle name="常规 8" xfId="11" xr:uid="{00000000-0005-0000-0000-000011000000}"/>
    <cellStyle name="常规 8 2" xfId="23" xr:uid="{D8A87B45-27BE-4D1B-8516-D30E45D3F9C7}"/>
    <cellStyle name="常规 9" xfId="12" xr:uid="{00000000-0005-0000-0000-000012000000}"/>
    <cellStyle name="常规 9 2" xfId="24" xr:uid="{1D0BADAE-5F07-45EF-BF25-FB9EEBBD3BA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1361</xdr:colOff>
      <xdr:row>61</xdr:row>
      <xdr:rowOff>117022</xdr:rowOff>
    </xdr:from>
    <xdr:to>
      <xdr:col>15</xdr:col>
      <xdr:colOff>620486</xdr:colOff>
      <xdr:row>95</xdr:row>
      <xdr:rowOff>112833</xdr:rowOff>
    </xdr:to>
    <xdr:pic>
      <xdr:nvPicPr>
        <xdr:cNvPr id="2" name="图片 1">
          <a:extLst>
            <a:ext uri="{FF2B5EF4-FFF2-40B4-BE49-F238E27FC236}">
              <a16:creationId xmlns:a16="http://schemas.microsoft.com/office/drawing/2014/main" id="{9CFDE055-9148-0DFC-9F21-A395E5EDD8DB}"/>
            </a:ext>
          </a:extLst>
        </xdr:cNvPr>
        <xdr:cNvPicPr>
          <a:picLocks noChangeAspect="1"/>
        </xdr:cNvPicPr>
      </xdr:nvPicPr>
      <xdr:blipFill>
        <a:blip xmlns:r="http://schemas.openxmlformats.org/officeDocument/2006/relationships" r:embed="rId1"/>
        <a:stretch>
          <a:fillRect/>
        </a:stretch>
      </xdr:blipFill>
      <xdr:spPr>
        <a:xfrm>
          <a:off x="3403147" y="10907486"/>
          <a:ext cx="7422696" cy="6010168"/>
        </a:xfrm>
        <a:prstGeom prst="rect">
          <a:avLst/>
        </a:prstGeom>
      </xdr:spPr>
    </xdr:pic>
    <xdr:clientData/>
  </xdr:twoCellAnchor>
  <xdr:twoCellAnchor editAs="oneCell">
    <xdr:from>
      <xdr:col>0</xdr:col>
      <xdr:colOff>1</xdr:colOff>
      <xdr:row>0</xdr:row>
      <xdr:rowOff>0</xdr:rowOff>
    </xdr:from>
    <xdr:to>
      <xdr:col>10</xdr:col>
      <xdr:colOff>171451</xdr:colOff>
      <xdr:row>18</xdr:row>
      <xdr:rowOff>126376</xdr:rowOff>
    </xdr:to>
    <xdr:pic>
      <xdr:nvPicPr>
        <xdr:cNvPr id="3" name="图片 2">
          <a:extLst>
            <a:ext uri="{FF2B5EF4-FFF2-40B4-BE49-F238E27FC236}">
              <a16:creationId xmlns:a16="http://schemas.microsoft.com/office/drawing/2014/main" id="{9F6A4D71-3B30-5440-8F68-C96FA337CA5C}"/>
            </a:ext>
          </a:extLst>
        </xdr:cNvPr>
        <xdr:cNvPicPr>
          <a:picLocks noChangeAspect="1"/>
        </xdr:cNvPicPr>
      </xdr:nvPicPr>
      <xdr:blipFill>
        <a:blip xmlns:r="http://schemas.openxmlformats.org/officeDocument/2006/relationships" r:embed="rId2"/>
        <a:stretch>
          <a:fillRect/>
        </a:stretch>
      </xdr:blipFill>
      <xdr:spPr>
        <a:xfrm>
          <a:off x="1" y="0"/>
          <a:ext cx="7029450" cy="3212476"/>
        </a:xfrm>
        <a:prstGeom prst="rect">
          <a:avLst/>
        </a:prstGeom>
      </xdr:spPr>
    </xdr:pic>
    <xdr:clientData/>
  </xdr:twoCellAnchor>
  <xdr:twoCellAnchor editAs="oneCell">
    <xdr:from>
      <xdr:col>10</xdr:col>
      <xdr:colOff>352425</xdr:colOff>
      <xdr:row>0</xdr:row>
      <xdr:rowOff>66675</xdr:rowOff>
    </xdr:from>
    <xdr:to>
      <xdr:col>18</xdr:col>
      <xdr:colOff>446977</xdr:colOff>
      <xdr:row>16</xdr:row>
      <xdr:rowOff>85380</xdr:rowOff>
    </xdr:to>
    <xdr:pic>
      <xdr:nvPicPr>
        <xdr:cNvPr id="4" name="图片 3">
          <a:extLst>
            <a:ext uri="{FF2B5EF4-FFF2-40B4-BE49-F238E27FC236}">
              <a16:creationId xmlns:a16="http://schemas.microsoft.com/office/drawing/2014/main" id="{F4C0CC8B-5E45-F49E-61D4-5A1BD5599F8A}"/>
            </a:ext>
          </a:extLst>
        </xdr:cNvPr>
        <xdr:cNvPicPr>
          <a:picLocks noChangeAspect="1"/>
        </xdr:cNvPicPr>
      </xdr:nvPicPr>
      <xdr:blipFill>
        <a:blip xmlns:r="http://schemas.openxmlformats.org/officeDocument/2006/relationships" r:embed="rId3"/>
        <a:stretch>
          <a:fillRect/>
        </a:stretch>
      </xdr:blipFill>
      <xdr:spPr>
        <a:xfrm>
          <a:off x="7210425" y="66675"/>
          <a:ext cx="5580952" cy="2761905"/>
        </a:xfrm>
        <a:prstGeom prst="rect">
          <a:avLst/>
        </a:prstGeom>
      </xdr:spPr>
    </xdr:pic>
    <xdr:clientData/>
  </xdr:twoCellAnchor>
  <xdr:twoCellAnchor editAs="oneCell">
    <xdr:from>
      <xdr:col>0</xdr:col>
      <xdr:colOff>0</xdr:colOff>
      <xdr:row>19</xdr:row>
      <xdr:rowOff>0</xdr:rowOff>
    </xdr:from>
    <xdr:to>
      <xdr:col>10</xdr:col>
      <xdr:colOff>314325</xdr:colOff>
      <xdr:row>37</xdr:row>
      <xdr:rowOff>5419</xdr:rowOff>
    </xdr:to>
    <xdr:pic>
      <xdr:nvPicPr>
        <xdr:cNvPr id="5" name="图片 4">
          <a:extLst>
            <a:ext uri="{FF2B5EF4-FFF2-40B4-BE49-F238E27FC236}">
              <a16:creationId xmlns:a16="http://schemas.microsoft.com/office/drawing/2014/main" id="{7E8437FF-6781-4FD2-7DB0-A2D1AAEE9C5D}"/>
            </a:ext>
          </a:extLst>
        </xdr:cNvPr>
        <xdr:cNvPicPr>
          <a:picLocks noChangeAspect="1"/>
        </xdr:cNvPicPr>
      </xdr:nvPicPr>
      <xdr:blipFill>
        <a:blip xmlns:r="http://schemas.openxmlformats.org/officeDocument/2006/relationships" r:embed="rId4"/>
        <a:stretch>
          <a:fillRect/>
        </a:stretch>
      </xdr:blipFill>
      <xdr:spPr>
        <a:xfrm>
          <a:off x="0" y="3257550"/>
          <a:ext cx="7172325" cy="3091519"/>
        </a:xfrm>
        <a:prstGeom prst="rect">
          <a:avLst/>
        </a:prstGeom>
      </xdr:spPr>
    </xdr:pic>
    <xdr:clientData/>
  </xdr:twoCellAnchor>
  <xdr:twoCellAnchor editAs="oneCell">
    <xdr:from>
      <xdr:col>10</xdr:col>
      <xdr:colOff>381000</xdr:colOff>
      <xdr:row>18</xdr:row>
      <xdr:rowOff>57150</xdr:rowOff>
    </xdr:from>
    <xdr:to>
      <xdr:col>18</xdr:col>
      <xdr:colOff>123171</xdr:colOff>
      <xdr:row>35</xdr:row>
      <xdr:rowOff>161548</xdr:rowOff>
    </xdr:to>
    <xdr:pic>
      <xdr:nvPicPr>
        <xdr:cNvPr id="6" name="图片 5">
          <a:extLst>
            <a:ext uri="{FF2B5EF4-FFF2-40B4-BE49-F238E27FC236}">
              <a16:creationId xmlns:a16="http://schemas.microsoft.com/office/drawing/2014/main" id="{229932F4-794B-9F77-783B-28D3A92F5EAB}"/>
            </a:ext>
          </a:extLst>
        </xdr:cNvPr>
        <xdr:cNvPicPr>
          <a:picLocks noChangeAspect="1"/>
        </xdr:cNvPicPr>
      </xdr:nvPicPr>
      <xdr:blipFill>
        <a:blip xmlns:r="http://schemas.openxmlformats.org/officeDocument/2006/relationships" r:embed="rId5"/>
        <a:stretch>
          <a:fillRect/>
        </a:stretch>
      </xdr:blipFill>
      <xdr:spPr>
        <a:xfrm>
          <a:off x="7239000" y="3143250"/>
          <a:ext cx="5228571" cy="3019048"/>
        </a:xfrm>
        <a:prstGeom prst="rect">
          <a:avLst/>
        </a:prstGeom>
      </xdr:spPr>
    </xdr:pic>
    <xdr:clientData/>
  </xdr:twoCellAnchor>
  <xdr:twoCellAnchor editAs="oneCell">
    <xdr:from>
      <xdr:col>0</xdr:col>
      <xdr:colOff>0</xdr:colOff>
      <xdr:row>61</xdr:row>
      <xdr:rowOff>106137</xdr:rowOff>
    </xdr:from>
    <xdr:to>
      <xdr:col>4</xdr:col>
      <xdr:colOff>504419</xdr:colOff>
      <xdr:row>103</xdr:row>
      <xdr:rowOff>162380</xdr:rowOff>
    </xdr:to>
    <xdr:pic>
      <xdr:nvPicPr>
        <xdr:cNvPr id="9" name="图片 8">
          <a:extLst>
            <a:ext uri="{FF2B5EF4-FFF2-40B4-BE49-F238E27FC236}">
              <a16:creationId xmlns:a16="http://schemas.microsoft.com/office/drawing/2014/main" id="{D66A5963-D38A-F5E8-A8D6-6A5CAF11058C}"/>
            </a:ext>
          </a:extLst>
        </xdr:cNvPr>
        <xdr:cNvPicPr>
          <a:picLocks noChangeAspect="1"/>
        </xdr:cNvPicPr>
      </xdr:nvPicPr>
      <xdr:blipFill>
        <a:blip xmlns:r="http://schemas.openxmlformats.org/officeDocument/2006/relationships" r:embed="rId6"/>
        <a:stretch>
          <a:fillRect/>
        </a:stretch>
      </xdr:blipFill>
      <xdr:spPr>
        <a:xfrm>
          <a:off x="0" y="10896601"/>
          <a:ext cx="3225848" cy="7485743"/>
        </a:xfrm>
        <a:prstGeom prst="rect">
          <a:avLst/>
        </a:prstGeom>
      </xdr:spPr>
    </xdr:pic>
    <xdr:clientData/>
  </xdr:twoCellAnchor>
  <xdr:twoCellAnchor editAs="oneCell">
    <xdr:from>
      <xdr:col>0</xdr:col>
      <xdr:colOff>176892</xdr:colOff>
      <xdr:row>103</xdr:row>
      <xdr:rowOff>68037</xdr:rowOff>
    </xdr:from>
    <xdr:to>
      <xdr:col>13</xdr:col>
      <xdr:colOff>389005</xdr:colOff>
      <xdr:row>122</xdr:row>
      <xdr:rowOff>54428</xdr:rowOff>
    </xdr:to>
    <xdr:pic>
      <xdr:nvPicPr>
        <xdr:cNvPr id="13" name="图片 12">
          <a:extLst>
            <a:ext uri="{FF2B5EF4-FFF2-40B4-BE49-F238E27FC236}">
              <a16:creationId xmlns:a16="http://schemas.microsoft.com/office/drawing/2014/main" id="{932F71E7-1675-416F-DE9A-14410D19EFF6}"/>
            </a:ext>
          </a:extLst>
        </xdr:cNvPr>
        <xdr:cNvPicPr>
          <a:picLocks noChangeAspect="1"/>
        </xdr:cNvPicPr>
      </xdr:nvPicPr>
      <xdr:blipFill>
        <a:blip xmlns:r="http://schemas.openxmlformats.org/officeDocument/2006/relationships" r:embed="rId7"/>
        <a:stretch>
          <a:fillRect/>
        </a:stretch>
      </xdr:blipFill>
      <xdr:spPr>
        <a:xfrm>
          <a:off x="176892" y="18288001"/>
          <a:ext cx="9056756" cy="3347356"/>
        </a:xfrm>
        <a:prstGeom prst="rect">
          <a:avLst/>
        </a:prstGeom>
      </xdr:spPr>
    </xdr:pic>
    <xdr:clientData/>
  </xdr:twoCellAnchor>
  <xdr:twoCellAnchor editAs="oneCell">
    <xdr:from>
      <xdr:col>0</xdr:col>
      <xdr:colOff>0</xdr:colOff>
      <xdr:row>38</xdr:row>
      <xdr:rowOff>163285</xdr:rowOff>
    </xdr:from>
    <xdr:to>
      <xdr:col>11</xdr:col>
      <xdr:colOff>306212</xdr:colOff>
      <xdr:row>57</xdr:row>
      <xdr:rowOff>163285</xdr:rowOff>
    </xdr:to>
    <xdr:pic>
      <xdr:nvPicPr>
        <xdr:cNvPr id="12" name="图片 11">
          <a:extLst>
            <a:ext uri="{FF2B5EF4-FFF2-40B4-BE49-F238E27FC236}">
              <a16:creationId xmlns:a16="http://schemas.microsoft.com/office/drawing/2014/main" id="{29BB2FB8-1F80-7F6E-5B58-6F20E5AE7DE7}"/>
            </a:ext>
          </a:extLst>
        </xdr:cNvPr>
        <xdr:cNvPicPr>
          <a:picLocks noChangeAspect="1"/>
        </xdr:cNvPicPr>
      </xdr:nvPicPr>
      <xdr:blipFill>
        <a:blip xmlns:r="http://schemas.openxmlformats.org/officeDocument/2006/relationships" r:embed="rId8"/>
        <a:stretch>
          <a:fillRect/>
        </a:stretch>
      </xdr:blipFill>
      <xdr:spPr>
        <a:xfrm>
          <a:off x="0" y="6885214"/>
          <a:ext cx="7790141" cy="3360964"/>
        </a:xfrm>
        <a:prstGeom prst="rect">
          <a:avLst/>
        </a:prstGeom>
      </xdr:spPr>
    </xdr:pic>
    <xdr:clientData/>
  </xdr:twoCellAnchor>
  <xdr:twoCellAnchor editAs="oneCell">
    <xdr:from>
      <xdr:col>12</xdr:col>
      <xdr:colOff>68035</xdr:colOff>
      <xdr:row>39</xdr:row>
      <xdr:rowOff>108857</xdr:rowOff>
    </xdr:from>
    <xdr:to>
      <xdr:col>19</xdr:col>
      <xdr:colOff>276964</xdr:colOff>
      <xdr:row>53</xdr:row>
      <xdr:rowOff>70452</xdr:rowOff>
    </xdr:to>
    <xdr:pic>
      <xdr:nvPicPr>
        <xdr:cNvPr id="14" name="图片 13">
          <a:extLst>
            <a:ext uri="{FF2B5EF4-FFF2-40B4-BE49-F238E27FC236}">
              <a16:creationId xmlns:a16="http://schemas.microsoft.com/office/drawing/2014/main" id="{5B716E72-00F7-D9BB-B705-9535BBC6BC1D}"/>
            </a:ext>
          </a:extLst>
        </xdr:cNvPr>
        <xdr:cNvPicPr>
          <a:picLocks noChangeAspect="1"/>
        </xdr:cNvPicPr>
      </xdr:nvPicPr>
      <xdr:blipFill>
        <a:blip xmlns:r="http://schemas.openxmlformats.org/officeDocument/2006/relationships" r:embed="rId9"/>
        <a:stretch>
          <a:fillRect/>
        </a:stretch>
      </xdr:blipFill>
      <xdr:spPr>
        <a:xfrm>
          <a:off x="8232321" y="7007678"/>
          <a:ext cx="4971429"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估价对象为北京市房地产，为所有。根据《国有土地使用证》[]，估价对象（分摊）出让国有建设用地使用权面积为0平方米，建筑面积为1069.99平方米。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估价对象为北京市房地产,属开发建设的，该项目尚在开发建设中。根据《国有土地使用证》[]，估价对象（分摊）出让国有建设用地使用权面积为0平方米，规划建筑面积为1069.99平方米。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2024年10月15日（评估专业人员实地查勘之日）</v>
      </c>
    </row>
    <row r="13" spans="1:2">
      <c r="A13" s="1118" t="s">
        <v>529</v>
      </c>
      <c r="B13" s="1119" t="str">
        <f>'预评函-1'!A18</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635</v>
      </c>
    </row>
    <row r="21" spans="1:2">
      <c r="A21" s="1118" t="s">
        <v>537</v>
      </c>
      <c r="B21" s="1119">
        <f ca="1">'预评函-2'!D7</f>
        <v>18801</v>
      </c>
    </row>
    <row r="22" spans="1:2">
      <c r="A22" s="1118" t="s">
        <v>538</v>
      </c>
      <c r="B22" s="1119" t="str">
        <f ca="1">'预评函-2'!D6</f>
        <v>陆佰叁拾伍万元整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635</v>
      </c>
    </row>
    <row r="31" spans="1:2">
      <c r="A31" s="1118" t="s">
        <v>576</v>
      </c>
      <c r="B31" s="1119">
        <f ca="1">'预评函-2'!D15</f>
        <v>18801</v>
      </c>
    </row>
    <row r="32" spans="1:2">
      <c r="A32" s="1118" t="s">
        <v>543</v>
      </c>
      <c r="B32" s="1119" t="str">
        <f ca="1">'预评函-2'!D14</f>
        <v>陆佰叁拾伍万元整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1069.99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380</v>
      </c>
    </row>
    <row r="48" spans="1:2">
      <c r="A48" s="1118" t="s">
        <v>549</v>
      </c>
      <c r="B48" s="1119">
        <f ca="1">'预评函-3'!E4</f>
        <v>11262</v>
      </c>
    </row>
    <row r="49" spans="1:2">
      <c r="A49" s="1118" t="s">
        <v>550</v>
      </c>
      <c r="B49" s="1119" t="str">
        <f ca="1">'预评函-3'!D5</f>
        <v>叁佰捌拾万元整</v>
      </c>
    </row>
    <row r="50" spans="1:2">
      <c r="A50" s="1118" t="s">
        <v>574</v>
      </c>
      <c r="B50" s="1119" t="str">
        <f>'预评函-3'!F2</f>
        <v>在建建筑物价值</v>
      </c>
    </row>
    <row r="51" spans="1:2">
      <c r="A51" s="1118" t="s">
        <v>551</v>
      </c>
      <c r="B51" s="1119">
        <f ca="1">'预评函-3'!F4</f>
        <v>255</v>
      </c>
    </row>
    <row r="52" spans="1:2">
      <c r="A52" s="1118" t="s">
        <v>552</v>
      </c>
      <c r="B52" s="1119">
        <f ca="1">'预评函-3'!G4</f>
        <v>7539</v>
      </c>
    </row>
    <row r="53" spans="1:2">
      <c r="A53" s="1118" t="s">
        <v>580</v>
      </c>
      <c r="B53" s="1119" t="str">
        <f ca="1">'预评函-3'!F5</f>
        <v>贰佰伍拾伍万元整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6" t="s">
        <v>385</v>
      </c>
      <c r="C54" s="1444" t="s">
        <v>583</v>
      </c>
    </row>
    <row r="55" spans="1:4">
      <c r="A55" s="3195"/>
      <c r="B55" s="1446" t="s">
        <v>386</v>
      </c>
      <c r="C55" s="1444" t="s">
        <v>584</v>
      </c>
    </row>
    <row r="56" spans="1:4">
      <c r="A56" s="3195"/>
      <c r="B56" s="1446" t="s">
        <v>387</v>
      </c>
      <c r="C56" s="1444" t="s">
        <v>588</v>
      </c>
    </row>
    <row r="57" spans="1:4">
      <c r="A57" s="319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196" t="s">
        <v>2572</v>
      </c>
      <c r="J2" s="3196"/>
      <c r="K2" s="3196"/>
      <c r="L2" s="3196"/>
      <c r="M2" s="3196"/>
      <c r="N2" s="3196"/>
      <c r="O2" s="3196"/>
      <c r="P2" s="3196"/>
      <c r="Q2" s="3196"/>
      <c r="R2" s="3196"/>
    </row>
    <row r="3" spans="1:18">
      <c r="A3" s="2762" t="s">
        <v>2493</v>
      </c>
      <c r="B3" s="2763">
        <f>项目基本情况!D3</f>
        <v>45580</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2.17</v>
      </c>
      <c r="D5" s="2767">
        <f>IF(ISERROR(ROUND(POWER(1+E5,A5-C5)*(POWER(1+E5,C5)-1)/(POWER(1+E5,A5)-1),3)),0,ROUND(POWER(1+E5,A5-C5)*(POWER(1+E5,C5)-1)/(POWER(1+E5,A5)-1),4))</f>
        <v>0.1031</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12.18</v>
      </c>
      <c r="D6" s="2767">
        <f>IF(ISERROR(ROUND(POWER(1+E6,A6-C6)*(POWER(1+E6,C6)-1)/(POWER(1+E6,A6)-1),3)),0,ROUND(POWER(1+E6,A6-C6)*(POWER(1+E6,C6)-1)/(POWER(1+E6,A6)-1),4))</f>
        <v>0.442</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32.200000000000003</v>
      </c>
      <c r="D7" s="2767">
        <f>IF(ISERROR(ROUND(POWER(1+E7,A7-C7)*(POWER(1+E7,C7)-1)/(POWER(1+E7,A7)-1),3)),0,ROUND(POWER(1+E7,A7-C7)*(POWER(1+E7,C7)-1)/(POWER(1+E7,A7)-1),4))</f>
        <v>0.76639999999999997</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45580</v>
      </c>
      <c r="C3" s="2185" t="s">
        <v>2170</v>
      </c>
      <c r="D3" s="2184">
        <v>45580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200" t="s">
        <v>2176</v>
      </c>
      <c r="E8" s="2201" t="s">
        <v>3380</v>
      </c>
      <c r="F8" s="2202"/>
      <c r="G8" s="2441"/>
      <c r="H8" s="2441"/>
      <c r="I8" s="2441"/>
      <c r="J8" s="2244"/>
      <c r="K8" s="2399"/>
      <c r="L8" s="2398"/>
      <c r="M8" s="2398"/>
      <c r="N8" s="2244"/>
      <c r="O8" s="1669"/>
      <c r="P8" s="2244"/>
      <c r="Q8" s="2244"/>
      <c r="R8" s="2244"/>
    </row>
    <row r="9" spans="1:30" ht="13.5" thickBot="1">
      <c r="A9" s="2203" t="s">
        <v>2177</v>
      </c>
      <c r="B9" s="2204" t="s">
        <v>3380</v>
      </c>
      <c r="C9" s="2205"/>
      <c r="D9" s="3201"/>
      <c r="E9" s="2204" t="s">
        <v>43</v>
      </c>
      <c r="F9" s="2206"/>
      <c r="G9" s="2442"/>
      <c r="H9" s="2442"/>
      <c r="I9" s="2442"/>
      <c r="J9" s="2244"/>
      <c r="K9" s="2401"/>
      <c r="L9" s="2398"/>
      <c r="M9" s="2398"/>
      <c r="N9" s="2244"/>
      <c r="O9" s="1669"/>
      <c r="P9" s="2244"/>
      <c r="Q9" s="2244"/>
      <c r="R9" s="2244"/>
    </row>
    <row r="10" spans="1:30" ht="13.5" thickTop="1">
      <c r="A10" s="2207" t="s">
        <v>2178</v>
      </c>
      <c r="B10" s="2208" t="s">
        <v>3381</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3382</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3324</v>
      </c>
      <c r="B13" s="2217" t="s">
        <v>2189</v>
      </c>
      <c r="C13" s="802"/>
      <c r="D13" s="802">
        <v>55984</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28.5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07"/>
      <c r="C16" s="3208"/>
      <c r="D16" s="3209"/>
      <c r="E16" s="2221" t="s">
        <v>2193</v>
      </c>
      <c r="F16" s="3210"/>
      <c r="G16" s="3211"/>
      <c r="H16" s="3211"/>
      <c r="I16" s="3212"/>
      <c r="J16" s="2244"/>
      <c r="K16" s="2402"/>
      <c r="L16" s="1669"/>
      <c r="M16" s="1669"/>
      <c r="N16" s="2244"/>
      <c r="O16" s="1669"/>
      <c r="P16" s="2244"/>
      <c r="Q16" s="2244"/>
      <c r="R16" s="2244"/>
    </row>
    <row r="17" spans="1:28">
      <c r="A17" s="305" t="s">
        <v>2194</v>
      </c>
      <c r="B17" s="294" t="s">
        <v>2195</v>
      </c>
      <c r="C17" s="8">
        <f>'数据-汇总表'!E3</f>
        <v>1069.99</v>
      </c>
      <c r="D17" s="1255" t="s">
        <v>2196</v>
      </c>
      <c r="E17" s="3213" t="s">
        <v>2197</v>
      </c>
      <c r="F17" s="3214"/>
      <c r="G17" s="3214"/>
      <c r="H17" s="3214"/>
      <c r="I17" s="3215"/>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16" t="s">
        <v>2201</v>
      </c>
      <c r="F18" s="3217"/>
      <c r="G18" s="3217"/>
      <c r="H18" s="3217"/>
      <c r="I18" s="3218"/>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03" t="s">
        <v>2205</v>
      </c>
      <c r="C20" s="3204"/>
      <c r="D20" s="3205" t="s">
        <v>2206</v>
      </c>
      <c r="E20" s="3206"/>
      <c r="F20" s="2429" t="s">
        <v>1056</v>
      </c>
      <c r="G20" s="2441"/>
      <c r="H20" s="2441"/>
      <c r="I20" s="2441"/>
      <c r="J20" s="2244"/>
      <c r="K20" s="320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0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0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0"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0"/>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0"/>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1"/>
      <c r="B30" s="294" t="s">
        <v>2217</v>
      </c>
      <c r="C30" s="3222"/>
      <c r="D30" s="3223"/>
      <c r="E30" s="2441"/>
      <c r="F30" s="2441"/>
      <c r="G30" s="2441"/>
      <c r="H30" s="2441"/>
      <c r="I30" s="2441"/>
      <c r="J30" s="2244"/>
      <c r="K30" s="2401"/>
      <c r="L30" s="2398"/>
      <c r="M30" s="2398"/>
      <c r="N30" s="2244"/>
      <c r="O30" s="1669"/>
      <c r="P30" s="2244"/>
      <c r="Q30" s="2244"/>
      <c r="R30" s="2244"/>
      <c r="S30" s="2244"/>
      <c r="T30" s="2244"/>
      <c r="U30" s="2244"/>
      <c r="V30" s="2244"/>
    </row>
    <row r="31" spans="1:28">
      <c r="A31" s="3224"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4"/>
      <c r="V34" s="2244"/>
    </row>
    <row r="35" spans="1:30">
      <c r="A35" s="2235"/>
      <c r="B35" s="3219" t="s">
        <v>2228</v>
      </c>
      <c r="C35" s="3219"/>
      <c r="D35" s="3219"/>
      <c r="E35" s="321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1069.99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1069.99</v>
      </c>
      <c r="H5" s="13">
        <f t="shared" ref="H5:AT5" si="0">SUM(H13:H656)</f>
        <v>1069.99</v>
      </c>
      <c r="I5" s="13">
        <f t="shared" si="0"/>
        <v>1069.99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1069.99</v>
      </c>
      <c r="BA5" s="15">
        <f t="shared" si="1"/>
        <v>1069.99</v>
      </c>
      <c r="BB5" s="15">
        <f t="shared" si="1"/>
        <v>1069.99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3384</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301</v>
      </c>
      <c r="D13" s="1512" t="s">
        <v>3383</v>
      </c>
      <c r="E13" s="13">
        <f>IF($C$3="是",ROUND($A$3*G13/$B$3,2),ROUND($A$3*(G13-AT13)/$B$3,2))</f>
        <v>0</v>
      </c>
      <c r="F13" s="29"/>
      <c r="G13" s="30">
        <f>H13+AC13+AT13</f>
        <v>337.82</v>
      </c>
      <c r="H13" s="17">
        <f>SUMIF(I$12:AB$12,"总值",I13:AB13)</f>
        <v>337.82</v>
      </c>
      <c r="I13" s="1513">
        <v>337.82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301</v>
      </c>
      <c r="AY13" s="1259">
        <f>ROUND($AY$6*AZ13/$AZ$5,2)</f>
        <v>0</v>
      </c>
      <c r="AZ13" s="13">
        <f>BA13+BL13</f>
        <v>337.82</v>
      </c>
      <c r="BA13" s="13">
        <f>SUM(BB13:BK13)</f>
        <v>337.82</v>
      </c>
      <c r="BB13" s="13">
        <f>IF($D13="是",I13-J13,0)</f>
        <v>337.82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302</v>
      </c>
      <c r="D14" s="1512" t="s">
        <v>3383</v>
      </c>
      <c r="E14" s="13">
        <f>IF($C$3="是",ROUND($A$3*G14/$B$3,2),ROUND($A$3*(G14-AT14)/$B$3,2))</f>
        <v>0</v>
      </c>
      <c r="F14" s="29"/>
      <c r="G14" s="30">
        <f>H14+AC14+AT14</f>
        <v>336.14</v>
      </c>
      <c r="H14" s="17">
        <f>SUMIF(I$12:AB$12,"总值",I14:AB14)</f>
        <v>336.14</v>
      </c>
      <c r="I14" s="1513">
        <v>336.14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302</v>
      </c>
      <c r="AY14" s="1259">
        <f>ROUND($AY$6*AZ14/$AZ$5,2)</f>
        <v>0</v>
      </c>
      <c r="AZ14" s="13">
        <f>BA14+BL14</f>
        <v>336.14</v>
      </c>
      <c r="BA14" s="13">
        <f>SUM(BB14:BK14)</f>
        <v>336.14</v>
      </c>
      <c r="BB14" s="13">
        <f>IF($D14="是",I14-J14,0)</f>
        <v>336.14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v>401</v>
      </c>
      <c r="D15" s="1512" t="s">
        <v>3383</v>
      </c>
      <c r="E15" s="13">
        <f>IF($C$3="是",ROUND($A$3*G15/$B$3,2),ROUND($A$3*(G15-AT15)/$B$3,2))</f>
        <v>0</v>
      </c>
      <c r="F15" s="29"/>
      <c r="G15" s="30">
        <f>H15+AC15+AT15</f>
        <v>198.85</v>
      </c>
      <c r="H15" s="17">
        <f>SUMIF(I$12:AB$12,"总值",I15:AB15)</f>
        <v>198.85</v>
      </c>
      <c r="I15" s="1513">
        <v>198.85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401</v>
      </c>
      <c r="AY15" s="1259">
        <f>ROUND($AY$6*AZ15/$AZ$5,2)</f>
        <v>0</v>
      </c>
      <c r="AZ15" s="13">
        <f>BA15+BL15</f>
        <v>198.85</v>
      </c>
      <c r="BA15" s="13">
        <f>SUM(BB15:BK15)</f>
        <v>198.85</v>
      </c>
      <c r="BB15" s="13">
        <f>IF($D15="是",I15-J15,0)</f>
        <v>198.85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v>402</v>
      </c>
      <c r="D16" s="1512" t="s">
        <v>3383</v>
      </c>
      <c r="E16" s="13">
        <f>IF($C$3="是",ROUND($A$3*G16/$B$3,2),ROUND($A$3*(G16-AT16)/$B$3,2))</f>
        <v>0</v>
      </c>
      <c r="F16" s="29"/>
      <c r="G16" s="30">
        <f>H16+AC16+AT16</f>
        <v>197.18</v>
      </c>
      <c r="H16" s="17">
        <f>SUMIF(I$12:AB$12,"总值",I16:AB16)</f>
        <v>197.18</v>
      </c>
      <c r="I16" s="1513">
        <v>197.18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402</v>
      </c>
      <c r="AY16" s="1259">
        <f>ROUND($AY$6*AZ16/$AZ$5,2)</f>
        <v>0</v>
      </c>
      <c r="AZ16" s="13">
        <f>BA16+BL16</f>
        <v>197.18</v>
      </c>
      <c r="BA16" s="13">
        <f>SUM(BB16:BK16)</f>
        <v>197.18</v>
      </c>
      <c r="BB16" s="13">
        <f>IF($D16="是",I16-J16,0)</f>
        <v>197.18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5" t="s">
        <v>1131</v>
      </c>
      <c r="B2" s="3235"/>
      <c r="C2" s="3235"/>
      <c r="D2" s="747" t="s">
        <v>1107</v>
      </c>
      <c r="E2" s="1522" t="s">
        <v>1108</v>
      </c>
      <c r="F2" s="2438"/>
      <c r="G2" s="2431"/>
      <c r="H2" s="2432"/>
      <c r="I2" s="2145" t="s">
        <v>1132</v>
      </c>
      <c r="J2" s="2438"/>
      <c r="K2" s="2438"/>
      <c r="L2" s="2438"/>
      <c r="M2" s="2438"/>
      <c r="N2" s="2439"/>
      <c r="O2" s="2438"/>
      <c r="P2" s="2438"/>
    </row>
    <row r="3" spans="1:16" ht="15.75" thickBot="1">
      <c r="A3" s="3236" t="s">
        <v>1105</v>
      </c>
      <c r="B3" s="3236"/>
      <c r="C3" s="3236"/>
      <c r="D3" s="41">
        <f>'数据-基础表'!AY6</f>
        <v>0</v>
      </c>
      <c r="E3" s="41">
        <f>'数据-基础表'!AZ5</f>
        <v>1069.99</v>
      </c>
      <c r="F3" s="2438"/>
      <c r="G3" s="42"/>
      <c r="H3" s="43" t="s">
        <v>1106</v>
      </c>
      <c r="I3" s="801" t="e">
        <f>ROUND('数据-基础表'!B3/'数据-基础表'!A3,2)</f>
        <v>#DIV/0!</v>
      </c>
      <c r="J3" s="2438"/>
      <c r="K3" s="2438"/>
      <c r="L3" s="2438"/>
      <c r="M3" s="2438"/>
      <c r="N3" s="2439"/>
      <c r="O3" s="2438"/>
      <c r="P3" s="2438"/>
    </row>
    <row r="4" spans="1:16" ht="15">
      <c r="A4" s="3237"/>
      <c r="B4" s="3238"/>
      <c r="C4" s="3239"/>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0" t="s">
        <v>1111</v>
      </c>
      <c r="C6" s="3240"/>
      <c r="D6" s="43">
        <f>ROUND($D$3*E6/$E$3,2)</f>
        <v>0</v>
      </c>
      <c r="E6" s="44">
        <f>E3-E5</f>
        <v>1069.99</v>
      </c>
      <c r="F6" s="2438"/>
      <c r="G6" s="1528" t="s">
        <v>1112</v>
      </c>
      <c r="H6" s="45" t="s">
        <v>1113</v>
      </c>
      <c r="I6" s="2434" t="e">
        <f>ROUND(F31/D31,2)</f>
        <v>#DIV/0!</v>
      </c>
      <c r="J6" s="2438"/>
      <c r="K6" s="2438"/>
      <c r="L6" s="2438"/>
      <c r="M6" s="2438"/>
      <c r="N6" s="2438"/>
      <c r="O6" s="2438"/>
      <c r="P6" s="2438"/>
    </row>
    <row r="7" spans="1:16" ht="15.75" thickBot="1">
      <c r="A7" s="3232"/>
      <c r="B7" s="3233"/>
      <c r="C7" s="3234"/>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1069.99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1069.99</v>
      </c>
      <c r="F16" s="2438"/>
      <c r="G16" s="2438"/>
      <c r="H16" s="1530" t="s">
        <v>1135</v>
      </c>
      <c r="I16" s="1531"/>
      <c r="J16" s="1070"/>
      <c r="K16" s="3229" t="s">
        <v>1135</v>
      </c>
      <c r="L16" s="3230"/>
      <c r="M16" s="3230"/>
      <c r="N16" s="3230"/>
      <c r="O16" s="3230"/>
      <c r="P16" s="3231"/>
    </row>
    <row r="17" spans="1:19" ht="15">
      <c r="A17" s="1532" t="s">
        <v>1136</v>
      </c>
      <c r="B17" s="1533" t="s">
        <v>1137</v>
      </c>
      <c r="C17" s="1534" t="s">
        <v>1138</v>
      </c>
      <c r="D17" s="1535" t="s">
        <v>1126</v>
      </c>
      <c r="E17" s="1536" t="s">
        <v>1127</v>
      </c>
      <c r="F17" s="1537"/>
      <c r="G17" s="1538"/>
      <c r="H17" s="1539" t="s">
        <v>1139</v>
      </c>
      <c r="I17" s="1540" t="s">
        <v>1124</v>
      </c>
      <c r="J17" s="1070"/>
      <c r="K17" s="3226" t="s">
        <v>1140</v>
      </c>
      <c r="L17" s="3227"/>
      <c r="M17" s="3228"/>
      <c r="N17" s="3226" t="s">
        <v>1141</v>
      </c>
      <c r="O17" s="3227"/>
      <c r="P17" s="322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v>301</v>
      </c>
      <c r="D19" s="43">
        <f>ROUND($D$3*E19/$E$3,2)</f>
        <v>0</v>
      </c>
      <c r="E19" s="51">
        <f t="shared" ref="E19:E26" si="1">SUM(F19:G19)</f>
        <v>337.82</v>
      </c>
      <c r="F19" s="2557">
        <f>'数据-基础表'!I13</f>
        <v>337.82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337.82</v>
      </c>
    </row>
    <row r="20" spans="1:19">
      <c r="A20" s="1548"/>
      <c r="B20" s="45" t="s">
        <v>1153</v>
      </c>
      <c r="C20" s="3115" t="s">
        <v>3385</v>
      </c>
      <c r="D20" s="43">
        <f t="shared" ref="D20:D26" si="6">ROUND($D$3*E20/$E$3,2)</f>
        <v>0</v>
      </c>
      <c r="E20" s="51">
        <f t="shared" si="1"/>
        <v>732.17000000000007</v>
      </c>
      <c r="F20" s="2557">
        <f>'数据-基础表'!I14+'数据-基础表'!I15+'数据-基础表'!I16</f>
        <v>732.17000000000007</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732.17000000000007</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1069.99</v>
      </c>
      <c r="F27" s="1071">
        <f>IF(SUM(F19:F26)=E8,SUM(F19:F26),"地上面积有误")</f>
        <v>1069.99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1069.99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1069.99</v>
      </c>
      <c r="F31" s="643">
        <f>F27+F30</f>
        <v>1069.99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V44"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301</v>
      </c>
      <c r="B6" s="1586" t="str">
        <f>IF(A6=0,"","经营性")</f>
        <v>经营性</v>
      </c>
      <c r="C6" s="1587" t="s">
        <v>673</v>
      </c>
      <c r="D6" s="804">
        <f>SUMIF(项目基本情况!C$12:I$12,C6,项目基本情况!C$14:I$14)</f>
        <v>40</v>
      </c>
      <c r="E6" s="803">
        <f>IF(B6="","",SUMIF(项目基本情况!C$12:I$12,C6,项目基本情况!C$13:I$13))</f>
        <v>55984</v>
      </c>
      <c r="F6" s="61">
        <f>SUMIF(项目基本情况!C$12:I$12,C6,项目基本情况!C$15:I$15)</f>
        <v>28.5</v>
      </c>
      <c r="G6" s="62">
        <f>IF(ISERROR(ROUND(POWER(1+H6,D6-F6)*(POWER(1+H6,F6)-1)/(POWER(1+H6,D6)-1),3)),0,ROUND(POWER(1+H6,D6-F6)*(POWER(1+H6,F6)-1)/(POWER(1+H6,D6)-1),3))</f>
        <v>0.875</v>
      </c>
      <c r="H6" s="690">
        <v>0.05</v>
      </c>
      <c r="I6" s="690">
        <v>5.5E-2</v>
      </c>
      <c r="J6" s="63">
        <v>7.0000000000000007E-2</v>
      </c>
      <c r="K6" s="969">
        <f>SUMIF('数据-汇总表'!C$19:C$33,A6,'数据-汇总表'!E$19:E$33)</f>
        <v>337.82</v>
      </c>
      <c r="L6" s="691">
        <v>3500</v>
      </c>
      <c r="M6" s="64">
        <f t="shared" ref="M6:M14" si="0">ROUND(K6*L6/10000,0)</f>
        <v>118</v>
      </c>
      <c r="N6" s="689">
        <f>ROUND(1-(2024-2016)/60,2)</f>
        <v>0.87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2.6</v>
      </c>
      <c r="V6" s="67">
        <v>0.02</v>
      </c>
      <c r="W6" s="67">
        <v>0.1</v>
      </c>
      <c r="X6" s="978"/>
      <c r="Y6" s="68">
        <f>N6</f>
        <v>0.87</v>
      </c>
      <c r="Z6" s="69"/>
      <c r="AA6" s="63"/>
      <c r="AB6" s="63"/>
      <c r="AC6" s="978"/>
      <c r="AD6" s="70"/>
      <c r="AE6" s="979">
        <f ca="1">IF(AN6="",0,SUMIF(INDIRECT("'"&amp;AN6&amp;"'"&amp;"!E:E"),$AE$5,INDIRECT("'"&amp;AN6&amp;"'"&amp;"!F:F")))</f>
        <v>28.5</v>
      </c>
      <c r="AF6" s="74"/>
      <c r="AG6" s="130">
        <f>IF(AF6="",0,AE6-AF6)</f>
        <v>0</v>
      </c>
      <c r="AH6" s="71"/>
      <c r="AI6" s="73">
        <v>365</v>
      </c>
      <c r="AJ6" s="74"/>
      <c r="AK6" s="63">
        <v>1E-3</v>
      </c>
      <c r="AL6" s="76">
        <v>1E-3</v>
      </c>
      <c r="AM6" s="77">
        <v>0.01</v>
      </c>
      <c r="AN6" s="1588" t="s">
        <v>3393</v>
      </c>
      <c r="AO6" s="50">
        <f ca="1">SUMIF(INDIRECT("'"&amp;AN6&amp;"'"&amp;"!A:A"),"总价",INDIRECT("'"&amp;AN6&amp;"'"&amp;"!B:B"))</f>
        <v>473.9119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v>
      </c>
      <c r="B7" s="1586" t="str">
        <f t="shared" ref="B7:B13" si="1">IF(A7=0,"","经营性")</f>
        <v>经营性</v>
      </c>
      <c r="C7" s="1587" t="s">
        <v>673</v>
      </c>
      <c r="D7" s="804">
        <f>SUMIF(项目基本情况!C$12:I$12,C7,项目基本情况!C$14:I$14)</f>
        <v>40</v>
      </c>
      <c r="E7" s="803">
        <f>IF(B7="","",SUMIF(项目基本情况!C$12:I$12,C7,项目基本情况!C$13:I$13))</f>
        <v>55984</v>
      </c>
      <c r="F7" s="61">
        <f>SUMIF(项目基本情况!C$12:I$12,C7,项目基本情况!C$15:I$15)</f>
        <v>28.5</v>
      </c>
      <c r="G7" s="62">
        <f t="shared" ref="G7:G11" si="2">IF(ISERROR(ROUND(POWER(1+H7,D7-F7)*(POWER(1+H7,F7)-1)/(POWER(1+H7,D7)-1),3)),0,ROUND(POWER(1+H7,D7-F7)*(POWER(1+H7,F7)-1)/(POWER(1+H7,D7)-1),3))</f>
        <v>0.875</v>
      </c>
      <c r="H7" s="690">
        <v>0.05</v>
      </c>
      <c r="I7" s="690">
        <v>5.5E-2</v>
      </c>
      <c r="J7" s="63">
        <v>7.0000000000000007E-2</v>
      </c>
      <c r="K7" s="969">
        <f>SUMIF('数据-汇总表'!C$19:C$33,A7,'数据-汇总表'!E$19:E$33)</f>
        <v>732.17000000000007</v>
      </c>
      <c r="L7" s="691">
        <v>3500</v>
      </c>
      <c r="M7" s="64">
        <f t="shared" si="0"/>
        <v>256</v>
      </c>
      <c r="N7" s="689">
        <f>ROUND(1-(2024-2016)/60,2)</f>
        <v>0.87</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0.875</v>
      </c>
      <c r="H16" s="84">
        <f>ROUND(SUMPRODUCT(H6:H13,K6:K13)/SUMPRODUCT((H6:H13&gt;0)*(K6:K13)),3)</f>
        <v>0.05</v>
      </c>
      <c r="I16" s="85"/>
      <c r="J16" s="85"/>
      <c r="K16" s="86">
        <f>SUM(K6:K15)</f>
        <v>1069.99</v>
      </c>
      <c r="L16" s="87">
        <f>ROUND(M16*10000/SUM(K6:K14),0)</f>
        <v>3495</v>
      </c>
      <c r="M16" s="87">
        <f>SUM(M6:M14)</f>
        <v>374</v>
      </c>
      <c r="N16" s="88">
        <f>ROUND(SUMPRODUCT(M6:M14,N6:N14)/M16,3)</f>
        <v>0.87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f ca="1">结果表!G20</f>
        <v>18801</v>
      </c>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3373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1" t="s">
        <v>2276</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18801</v>
      </c>
      <c r="D5" s="2299" t="e">
        <f>ROUND(B5*10000/$B$2,0)</f>
        <v>#DIV/0!</v>
      </c>
      <c r="E5" s="2461"/>
      <c r="F5" s="2462"/>
      <c r="G5" s="2462"/>
      <c r="H5" s="2462"/>
      <c r="I5" s="2462"/>
      <c r="J5" s="2462"/>
      <c r="K5" s="2462"/>
    </row>
    <row r="6" spans="1:11" ht="16.5">
      <c r="A6" s="2299" t="s">
        <v>656</v>
      </c>
      <c r="B6" s="2299">
        <f>SUM(G14:G23)</f>
        <v>0</v>
      </c>
      <c r="C6" s="2299">
        <f ca="1">IF(B6=G14,结果表!H108,ROUND(B6*10000/$B$1,0))</f>
        <v>18801</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3348</v>
      </c>
      <c r="D10" s="2299" t="s">
        <v>3349</v>
      </c>
      <c r="E10" s="3136"/>
      <c r="F10" s="3140" t="s">
        <v>3350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1560"/>
    <col min="3" max="4" width="12.625" style="1560" customWidth="1"/>
    <col min="5" max="8" width="12.625" style="1560"/>
    <col min="9" max="9" width="24"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301</v>
      </c>
      <c r="D1" s="645"/>
      <c r="E1" s="645"/>
      <c r="F1" s="1620" t="s">
        <v>1263</v>
      </c>
      <c r="G1" s="1452" t="s">
        <v>3424</v>
      </c>
      <c r="H1" s="1620" t="str">
        <f>IF(G1="现房","——","估价对象范围")</f>
        <v>——</v>
      </c>
      <c r="I1" s="1621" t="s">
        <v>3425</v>
      </c>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3394</v>
      </c>
      <c r="D4" s="1625" t="s">
        <v>3393</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313">
        <v>25</v>
      </c>
      <c r="C5" s="3316"/>
      <c r="D5" s="3304"/>
      <c r="E5" s="123" t="s">
        <v>1269</v>
      </c>
      <c r="F5" s="1626"/>
      <c r="G5" s="1626"/>
      <c r="H5" s="1626"/>
      <c r="I5" s="1280"/>
    </row>
    <row r="6" spans="1:12" ht="12.75">
      <c r="A6" s="3258"/>
      <c r="B6" s="3313"/>
      <c r="C6" s="3318"/>
      <c r="D6" s="3304"/>
      <c r="E6" s="123" t="s">
        <v>1270</v>
      </c>
      <c r="F6" s="1626"/>
      <c r="G6" s="1626"/>
      <c r="H6" s="1626"/>
      <c r="I6" s="1280"/>
    </row>
    <row r="7" spans="1:12" ht="12.75">
      <c r="A7" s="3258"/>
      <c r="B7" s="3313"/>
      <c r="C7" s="3317"/>
      <c r="D7" s="3304"/>
      <c r="E7" s="123" t="s">
        <v>1271</v>
      </c>
      <c r="F7" s="1626"/>
      <c r="G7" s="1626"/>
      <c r="H7" s="1626"/>
      <c r="I7" s="1280"/>
    </row>
    <row r="8" spans="1:12" ht="12.75">
      <c r="A8" s="3258" t="s">
        <v>1272</v>
      </c>
      <c r="B8" s="3313">
        <v>15</v>
      </c>
      <c r="C8" s="3316"/>
      <c r="D8" s="3304"/>
      <c r="E8" s="123" t="s">
        <v>1273</v>
      </c>
      <c r="F8" s="1626"/>
      <c r="G8" s="1626"/>
      <c r="H8" s="1626"/>
      <c r="I8" s="1280"/>
    </row>
    <row r="9" spans="1:12" ht="12.75">
      <c r="A9" s="3258"/>
      <c r="B9" s="3313"/>
      <c r="C9" s="3317"/>
      <c r="D9" s="3304"/>
      <c r="E9" s="123" t="s">
        <v>1274</v>
      </c>
      <c r="F9" s="1626"/>
      <c r="G9" s="1626"/>
      <c r="H9" s="1626"/>
      <c r="I9" s="1280"/>
    </row>
    <row r="10" spans="1:12" ht="12.75">
      <c r="A10" s="3258" t="s">
        <v>1275</v>
      </c>
      <c r="B10" s="3313">
        <v>15</v>
      </c>
      <c r="C10" s="3316"/>
      <c r="D10" s="3304"/>
      <c r="E10" s="123" t="s">
        <v>1276</v>
      </c>
      <c r="F10" s="1626"/>
      <c r="G10" s="1626"/>
      <c r="H10" s="1626"/>
      <c r="I10" s="1280"/>
    </row>
    <row r="11" spans="1:12" ht="12.75">
      <c r="A11" s="3258"/>
      <c r="B11" s="3313"/>
      <c r="C11" s="3317"/>
      <c r="D11" s="3304"/>
      <c r="E11" s="123" t="s">
        <v>1277</v>
      </c>
      <c r="F11" s="1626"/>
      <c r="G11" s="1626"/>
      <c r="H11" s="1626"/>
      <c r="I11" s="1280"/>
    </row>
    <row r="12" spans="1:12" ht="12.75">
      <c r="A12" s="3258" t="s">
        <v>1278</v>
      </c>
      <c r="B12" s="3313">
        <v>15</v>
      </c>
      <c r="C12" s="3316"/>
      <c r="D12" s="3304"/>
      <c r="E12" s="123" t="s">
        <v>1279</v>
      </c>
      <c r="F12" s="1626"/>
      <c r="G12" s="1626"/>
      <c r="H12" s="1626"/>
      <c r="I12" s="1280"/>
    </row>
    <row r="13" spans="1:12" ht="12.75">
      <c r="A13" s="3258"/>
      <c r="B13" s="3313"/>
      <c r="C13" s="3317"/>
      <c r="D13" s="3304"/>
      <c r="E13" s="123" t="s">
        <v>1280</v>
      </c>
      <c r="F13" s="1626"/>
      <c r="G13" s="1626"/>
      <c r="H13" s="1626"/>
      <c r="I13" s="1280"/>
    </row>
    <row r="14" spans="1:12" ht="12.75">
      <c r="A14" s="3258" t="s">
        <v>1281</v>
      </c>
      <c r="B14" s="3313">
        <v>30</v>
      </c>
      <c r="C14" s="3316">
        <v>7</v>
      </c>
      <c r="D14" s="3304">
        <v>3</v>
      </c>
      <c r="E14" s="123" t="s">
        <v>1282</v>
      </c>
      <c r="F14" s="1626"/>
      <c r="G14" s="1626"/>
      <c r="H14" s="1626"/>
      <c r="I14" s="1280"/>
    </row>
    <row r="15" spans="1:12" ht="12.75">
      <c r="A15" s="3258"/>
      <c r="B15" s="3313"/>
      <c r="C15" s="3318"/>
      <c r="D15" s="3304"/>
      <c r="E15" s="123" t="s">
        <v>1283</v>
      </c>
      <c r="F15" s="1626"/>
      <c r="G15" s="1626"/>
      <c r="H15" s="1626"/>
      <c r="I15" s="1280"/>
    </row>
    <row r="16" spans="1:12" ht="12.75">
      <c r="A16" s="3258"/>
      <c r="B16" s="3313"/>
      <c r="C16" s="3317"/>
      <c r="D16" s="3304"/>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35" t="s">
        <v>2130</v>
      </c>
      <c r="F18" s="3336"/>
      <c r="G18" s="3336"/>
      <c r="H18" s="3336"/>
      <c r="I18" s="3336"/>
      <c r="K18" s="294" t="s">
        <v>1289</v>
      </c>
      <c r="L18" s="294">
        <f>IF(C1="",'数据-汇总表'!E3,SUMIF(项目类型,C1,'数据-汇总表'!E17:E26)+SUMIF(项目类型,C1,'数据-汇总表'!I17:I26))</f>
        <v>337.82</v>
      </c>
      <c r="M18" s="294">
        <f>IF(C1="",'数据-汇总表'!E3,SUMIF(项目类型,C1,'数据-汇总表'!E17:E26))</f>
        <v>337.82</v>
      </c>
    </row>
    <row r="19" spans="1:36" ht="15">
      <c r="A19" s="1629" t="s">
        <v>1290</v>
      </c>
      <c r="B19" s="1630" t="s">
        <v>1291</v>
      </c>
      <c r="C19" s="126">
        <f ca="1">SUMIF(INDIRECT("'"&amp;C4&amp;"'"&amp;"!A:A"),结果表!B19,INDIRECT("'"&amp;C4&amp;"'"&amp;"!B:B"))</f>
        <v>704.21960000000001</v>
      </c>
      <c r="D19" s="127">
        <f ca="1">SUMIF(INDIRECT("'"&amp;D4&amp;"'"&amp;"!A:A"),结果表!B19,INDIRECT("'"&amp;D4&amp;"'"&amp;"!B:B"))</f>
        <v>473.9119</v>
      </c>
      <c r="E19" s="1629" t="s">
        <v>1292</v>
      </c>
      <c r="F19" s="1630" t="s">
        <v>1291</v>
      </c>
      <c r="G19" s="128">
        <f ca="1">ROUND(C19*$C$18+D19*$D$18,0)</f>
        <v>635</v>
      </c>
      <c r="H19" s="1631" t="s">
        <v>1293</v>
      </c>
      <c r="I19" s="121">
        <f ca="1">ROUND(G20*B118,0)</f>
        <v>6351354</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20846</v>
      </c>
      <c r="D20" s="130">
        <f ca="1">SUMIF(INDIRECT("'"&amp;D4&amp;"'"&amp;"!A:A"),结果表!B20,INDIRECT("'"&amp;D4&amp;"'"&amp;"!B:B"))</f>
        <v>14029</v>
      </c>
      <c r="E20" s="1632"/>
      <c r="F20" s="43" t="s">
        <v>1295</v>
      </c>
      <c r="G20" s="131">
        <f ca="1">ROUND(C20*$C$18+D20*$D$18,0)</f>
        <v>18801</v>
      </c>
      <c r="H20" s="759" t="s">
        <v>1296</v>
      </c>
      <c r="I20" s="3492">
        <f ca="1">I19</f>
        <v>6351354</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0.48597154872034243</v>
      </c>
      <c r="E22" s="121"/>
      <c r="F22" s="121"/>
      <c r="G22" s="121"/>
      <c r="H22" s="121"/>
      <c r="I22" s="121"/>
    </row>
    <row r="23" spans="1:36" ht="13.5" thickBot="1">
      <c r="A23" s="645"/>
      <c r="B23" s="645"/>
      <c r="C23" s="645"/>
      <c r="D23" s="645"/>
      <c r="E23" s="121"/>
      <c r="F23" s="121"/>
      <c r="G23" s="121"/>
      <c r="H23" s="121"/>
      <c r="I23" s="121"/>
    </row>
    <row r="24" spans="1:36" ht="14.25">
      <c r="A24" s="3328" t="s">
        <v>1299</v>
      </c>
      <c r="B24" s="1630" t="s">
        <v>1291</v>
      </c>
      <c r="C24" s="128">
        <f>IF(B30=0,0,D30)</f>
        <v>0</v>
      </c>
      <c r="D24" s="1636"/>
      <c r="E24" s="121"/>
      <c r="F24" s="121"/>
      <c r="G24" s="121"/>
      <c r="H24" s="121"/>
      <c r="I24" s="121"/>
    </row>
    <row r="25" spans="1:36" ht="14.25">
      <c r="A25" s="332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18801</v>
      </c>
      <c r="D32" s="1640" t="s">
        <v>3395</v>
      </c>
      <c r="E32" s="121"/>
      <c r="F32" s="121"/>
      <c r="G32" s="121"/>
      <c r="H32" s="121"/>
      <c r="I32" s="121"/>
    </row>
    <row r="33" spans="1:15" ht="15">
      <c r="A33" s="739" t="s">
        <v>1306</v>
      </c>
      <c r="B33" s="123"/>
      <c r="C33" s="1641" t="s">
        <v>3396</v>
      </c>
      <c r="D33" s="1642" t="s">
        <v>3393</v>
      </c>
      <c r="E33" s="1643" t="s">
        <v>1307</v>
      </c>
      <c r="F33" s="1644" t="str">
        <f>IF(D32="楼面单价","取值（单价）","取值（总价）")</f>
        <v>取值（单价）</v>
      </c>
      <c r="G33" s="121"/>
      <c r="H33" s="121"/>
      <c r="I33" s="121"/>
    </row>
    <row r="34" spans="1:15" ht="15">
      <c r="A34" s="1645"/>
      <c r="B34" s="1646" t="s">
        <v>1308</v>
      </c>
      <c r="C34" s="140">
        <f ca="1">IF(C33="自定义",F34,C32-C35)</f>
        <v>11262</v>
      </c>
      <c r="D34" s="807">
        <f ca="1">IF(C33="自定义",ROUND(C34/C32,3),IF(C33="收益比率",SUMIF(INDIRECT("'"&amp;D33&amp;"'"&amp;"!b:b"),"土地收益比率",INDIRECT("'"&amp;D33&amp;"'"&amp;"!c:c")),SUMIF(INDIRECT("'"&amp;D33&amp;"'"&amp;"!b:b"),"土地成本比率",INDIRECT("'"&amp;D33&amp;"'"&amp;"!c:c"))))</f>
        <v>0.59899999999999998</v>
      </c>
      <c r="E34" s="1647" t="s">
        <v>1309</v>
      </c>
      <c r="F34" s="1242"/>
      <c r="G34" s="121"/>
      <c r="H34" s="121"/>
      <c r="I34" s="121"/>
    </row>
    <row r="35" spans="1:15" ht="15.75" thickBot="1">
      <c r="A35" s="1648"/>
      <c r="B35" s="1649" t="s">
        <v>1310</v>
      </c>
      <c r="C35" s="1089">
        <f ca="1">IF(C33="自定义",F35,ROUND(C32*D35,0))</f>
        <v>7539</v>
      </c>
      <c r="D35" s="1090">
        <f ca="1">IF(C33="自定义",ROUND(C35/C32,3),IF(C33="收益比率",SUMIF(INDIRECT("'"&amp;D33&amp;"'"&amp;"!b:b"),"建筑物收益比率",INDIRECT("'"&amp;D33&amp;"'"&amp;"!c:c")),SUMIF(INDIRECT("'"&amp;D33&amp;"'"&amp;"!b:b"),"建筑物成本比率",INDIRECT("'"&amp;D33&amp;"'"&amp;"!c:c"))))</f>
        <v>0.40100000000000002</v>
      </c>
      <c r="E35" s="1650" t="s">
        <v>1311</v>
      </c>
      <c r="F35" s="146"/>
      <c r="G35" s="121"/>
      <c r="H35" s="121"/>
      <c r="I35" s="121"/>
    </row>
    <row r="36" spans="1:15" ht="15.75" thickBot="1">
      <c r="A36" s="3305" t="s">
        <v>1312</v>
      </c>
      <c r="B36" s="1651" t="s">
        <v>1313</v>
      </c>
      <c r="C36" s="137"/>
      <c r="D36" s="1652"/>
      <c r="E36" s="1566"/>
      <c r="F36" s="1653"/>
      <c r="G36" s="121"/>
      <c r="H36" s="121"/>
      <c r="I36" s="121"/>
    </row>
    <row r="37" spans="1:15" ht="15.75" thickBot="1">
      <c r="A37" s="3306"/>
      <c r="B37" s="1554" t="s">
        <v>1314</v>
      </c>
      <c r="C37" s="139"/>
      <c r="D37" s="1070"/>
      <c r="E37" s="1070"/>
      <c r="F37" s="1653"/>
      <c r="G37" s="121"/>
      <c r="H37" s="121"/>
      <c r="I37" s="121"/>
    </row>
    <row r="38" spans="1:15" ht="15.75" thickBot="1">
      <c r="A38" s="3307"/>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5" t="s">
        <v>1326</v>
      </c>
      <c r="B45" s="3326"/>
      <c r="C45" s="3327"/>
      <c r="D45" s="147">
        <f ca="1">ROUND(H101*F45,0)</f>
        <v>635</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7"/>
      <c r="I46" s="151"/>
      <c r="J46" s="2309">
        <v>1</v>
      </c>
      <c r="K46" s="3246" t="s">
        <v>1331</v>
      </c>
      <c r="L46" s="3246"/>
      <c r="M46" s="3247"/>
      <c r="N46" s="3247"/>
      <c r="O46" s="3247"/>
    </row>
    <row r="47" spans="1:15" ht="12" customHeight="1">
      <c r="A47" s="152" t="s">
        <v>1332</v>
      </c>
      <c r="B47" s="153"/>
      <c r="C47" s="154"/>
      <c r="D47" s="1023" t="s">
        <v>1333</v>
      </c>
      <c r="E47" s="294" t="s">
        <v>1334</v>
      </c>
      <c r="F47" s="155" t="s">
        <v>1335</v>
      </c>
      <c r="G47" s="2332" t="s">
        <v>1336</v>
      </c>
      <c r="H47" s="2333"/>
      <c r="I47" s="151"/>
      <c r="J47" s="2309">
        <v>2</v>
      </c>
      <c r="K47" s="3246" t="s">
        <v>1337</v>
      </c>
      <c r="L47" s="3246"/>
      <c r="M47" s="3248">
        <f>'数据-取费表'!B2</f>
        <v>45580</v>
      </c>
      <c r="N47" s="3248"/>
      <c r="O47" s="3248"/>
    </row>
    <row r="48" spans="1:15" ht="25.5">
      <c r="A48" s="3308" t="s">
        <v>1338</v>
      </c>
      <c r="B48" s="3309"/>
      <c r="C48" s="3309"/>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46" t="s">
        <v>1340</v>
      </c>
      <c r="L48" s="3246"/>
      <c r="M48" s="3249">
        <f ca="1">H101</f>
        <v>635</v>
      </c>
      <c r="N48" s="3249"/>
      <c r="O48" s="3249"/>
    </row>
    <row r="49" spans="1:35" ht="25.5" customHeight="1">
      <c r="A49" s="2151" t="s">
        <v>1341</v>
      </c>
      <c r="B49" s="3294" t="s">
        <v>1342</v>
      </c>
      <c r="C49" s="3294"/>
      <c r="D49" s="1477">
        <v>0</v>
      </c>
      <c r="E49" s="316" t="s">
        <v>1343</v>
      </c>
      <c r="F49" s="2232" t="s">
        <v>28</v>
      </c>
      <c r="G49" s="3277"/>
      <c r="H49" s="2133" t="s">
        <v>2133</v>
      </c>
      <c r="I49" s="2134"/>
      <c r="J49" s="2309">
        <v>4</v>
      </c>
      <c r="K49" s="3246" t="str">
        <f>IF(项目基本情况!E8="房地产抵押价值","房地产抵押价值","抵押担保权已注销时的房地产抵押价值")</f>
        <v>房地产抵押价值</v>
      </c>
      <c r="L49" s="3246"/>
      <c r="M49" s="3249">
        <f ca="1">IF(项目基本情况!E8="房地产抵押价值",H107,H109)</f>
        <v>635</v>
      </c>
      <c r="N49" s="3249"/>
      <c r="O49" s="3249"/>
    </row>
    <row r="50" spans="1:35" ht="25.5" customHeight="1">
      <c r="A50" s="2337"/>
      <c r="B50" s="3294" t="s">
        <v>1344</v>
      </c>
      <c r="C50" s="3294"/>
      <c r="D50" s="2188"/>
      <c r="E50" s="323"/>
      <c r="F50" s="2232"/>
      <c r="G50" s="3278"/>
      <c r="H50" s="2135" t="s">
        <v>2134</v>
      </c>
      <c r="I50" s="2134"/>
      <c r="J50" s="3245" t="s">
        <v>1345</v>
      </c>
      <c r="K50" s="3245"/>
      <c r="L50" s="3245"/>
      <c r="M50" s="3245"/>
      <c r="N50" s="3245"/>
      <c r="O50" s="3245"/>
    </row>
    <row r="51" spans="1:35" ht="20.45" customHeight="1">
      <c r="A51" s="2338"/>
      <c r="B51" s="3294" t="s">
        <v>1346</v>
      </c>
      <c r="C51" s="3294"/>
      <c r="D51" s="1023"/>
      <c r="E51" s="319"/>
      <c r="F51" s="2232"/>
      <c r="G51" s="3279"/>
      <c r="H51" s="2135" t="s">
        <v>2135</v>
      </c>
      <c r="I51" s="2134"/>
      <c r="J51" s="2310" t="s">
        <v>1347</v>
      </c>
      <c r="K51" s="3246" t="s">
        <v>1348</v>
      </c>
      <c r="L51" s="3246"/>
      <c r="M51" s="2310" t="s">
        <v>1349</v>
      </c>
      <c r="N51" s="2310" t="s">
        <v>1350</v>
      </c>
      <c r="O51" s="2310" t="s">
        <v>1351</v>
      </c>
    </row>
    <row r="52" spans="1:35" ht="24" customHeight="1">
      <c r="A52" s="2152" t="s">
        <v>1352</v>
      </c>
      <c r="B52" s="3294" t="s">
        <v>1353</v>
      </c>
      <c r="C52" s="3294"/>
      <c r="D52" s="1023">
        <f ca="1">ROUND(D45*'数据-取费表'!B41/(1+'数据-取费表'!C42),0)</f>
        <v>33</v>
      </c>
      <c r="E52" s="1255" t="s">
        <v>1354</v>
      </c>
      <c r="F52" s="2339">
        <f>'数据-取费表'!B41</f>
        <v>5.5000000000000007E-2</v>
      </c>
      <c r="G52" s="2340"/>
      <c r="H52" s="2330"/>
      <c r="I52" s="1668"/>
      <c r="J52" s="2309">
        <v>1</v>
      </c>
      <c r="K52" s="3271" t="s">
        <v>1355</v>
      </c>
      <c r="L52" s="3271"/>
      <c r="M52" s="2311" t="b">
        <f>D48</f>
        <v>0</v>
      </c>
      <c r="N52" s="2309" t="str">
        <f>E48</f>
        <v>销售额×税（费）率</v>
      </c>
      <c r="O52" s="2312">
        <f>F48</f>
        <v>5.5000000000000007E-2</v>
      </c>
    </row>
    <row r="53" spans="1:35" ht="12" customHeight="1">
      <c r="A53" s="2152" t="s">
        <v>1356</v>
      </c>
      <c r="B53" s="3295" t="s">
        <v>2281</v>
      </c>
      <c r="C53" s="3296"/>
      <c r="D53" s="1023">
        <f ca="1">ROUND(D45*'数据-取费表'!B41/(1+'数据-取费表'!C42),0)</f>
        <v>33</v>
      </c>
      <c r="E53" s="1255" t="s">
        <v>1354</v>
      </c>
      <c r="F53" s="2339">
        <f>'数据-取费表'!B41</f>
        <v>5.5000000000000007E-2</v>
      </c>
      <c r="G53" s="2340"/>
      <c r="H53" s="2330"/>
      <c r="I53" s="1668"/>
      <c r="J53" s="2309">
        <v>2</v>
      </c>
      <c r="K53" s="3271" t="s">
        <v>1357</v>
      </c>
      <c r="L53" s="3271"/>
      <c r="M53" s="2311">
        <f t="shared" ref="M53:O54" ca="1" si="0">D55</f>
        <v>0</v>
      </c>
      <c r="N53" s="2309" t="str">
        <f t="shared" si="0"/>
        <v>销售额×税（费）率</v>
      </c>
      <c r="O53" s="2312" t="str">
        <f t="shared" si="0"/>
        <v>免征</v>
      </c>
    </row>
    <row r="54" spans="1:35" ht="12" customHeight="1">
      <c r="A54" s="2152" t="s">
        <v>1358</v>
      </c>
      <c r="B54" s="3295" t="s">
        <v>2282</v>
      </c>
      <c r="C54" s="3296"/>
      <c r="D54" s="1023">
        <f ca="1">C68</f>
        <v>33</v>
      </c>
      <c r="E54" s="319" t="s">
        <v>1359</v>
      </c>
      <c r="F54" s="2339">
        <f>'数据-取费表'!B41</f>
        <v>5.5000000000000007E-2</v>
      </c>
      <c r="G54" s="2340"/>
      <c r="H54" s="2341"/>
      <c r="I54" s="1668"/>
      <c r="J54" s="2309">
        <v>3</v>
      </c>
      <c r="K54" s="3271" t="s">
        <v>1360</v>
      </c>
      <c r="L54" s="3271"/>
      <c r="M54" s="2311">
        <f t="shared" ca="1" si="0"/>
        <v>360</v>
      </c>
      <c r="N54" s="2309" t="str">
        <f t="shared" si="0"/>
        <v>增值额×税（费）率</v>
      </c>
      <c r="O54" s="2313" t="str">
        <f t="shared" si="0"/>
        <v>免征</v>
      </c>
    </row>
    <row r="55" spans="1:35" ht="24" customHeight="1">
      <c r="A55" s="3331" t="s">
        <v>1361</v>
      </c>
      <c r="B55" s="3309"/>
      <c r="C55" s="3309"/>
      <c r="D55" s="12">
        <f ca="1">IF(H55="个人住宅",0,ROUND(D45*I55,0))</f>
        <v>0</v>
      </c>
      <c r="E55" s="1255" t="s">
        <v>1362</v>
      </c>
      <c r="F55" s="2339" t="str">
        <f>IF(H55="正常",I55,"免征")</f>
        <v>免征</v>
      </c>
      <c r="G55" s="2340"/>
      <c r="H55" s="2336"/>
      <c r="I55" s="157">
        <f>'数据-取费表'!B49</f>
        <v>5.0000000000000001E-4</v>
      </c>
      <c r="J55" s="2309">
        <f>IF(H59="非个人房产","",4)</f>
        <v>4</v>
      </c>
      <c r="K55" s="3271" t="str">
        <f>IF(H59="非个人房产","——","个人所得税")</f>
        <v>个人所得税</v>
      </c>
      <c r="L55" s="3271"/>
      <c r="M55" s="2314">
        <f ca="1">D59</f>
        <v>6</v>
      </c>
      <c r="N55" s="1882" t="str">
        <f>E59</f>
        <v>差额计税</v>
      </c>
      <c r="O55" s="2315">
        <f>F59</f>
        <v>0.01</v>
      </c>
    </row>
    <row r="56" spans="1:35" ht="24.75">
      <c r="A56" s="3331" t="s">
        <v>1363</v>
      </c>
      <c r="B56" s="3309"/>
      <c r="C56" s="3309"/>
      <c r="D56" s="12">
        <f ca="1">IF(H56="个人住宅",D57,D58)</f>
        <v>360</v>
      </c>
      <c r="E56" s="1255" t="s">
        <v>1364</v>
      </c>
      <c r="F56" s="2339" t="str">
        <f>IF(H56="正常",F58,"免征")</f>
        <v>免征</v>
      </c>
      <c r="G56" s="2342" t="s">
        <v>1365</v>
      </c>
      <c r="H56" s="2343"/>
      <c r="I56" s="1669"/>
      <c r="J56" s="2309" t="str">
        <f>IF(项目基本情况!K6="上海银行",IF(J55="",4,J55+1),"")</f>
        <v/>
      </c>
      <c r="K56" s="3252" t="str">
        <f>IF(项目基本情况!K6="上海银行","其他处置费用","")</f>
        <v/>
      </c>
      <c r="L56" s="3253"/>
      <c r="M56" s="2311" t="str">
        <f>IF(项目基本情况!K6="上海银行",M69,"")</f>
        <v/>
      </c>
      <c r="N56" s="3252" t="str">
        <f>IF(项目基本情况!K6="上海银行","包含处置中涉及的律师、诉讼、拍卖、评估等费用","")</f>
        <v/>
      </c>
      <c r="O56" s="3255"/>
    </row>
    <row r="57" spans="1:35" ht="12.75">
      <c r="A57" s="2152" t="s">
        <v>1341</v>
      </c>
      <c r="B57" s="3295" t="s">
        <v>1366</v>
      </c>
      <c r="C57" s="3296"/>
      <c r="D57" s="1477">
        <v>0</v>
      </c>
      <c r="E57" s="316" t="s">
        <v>1343</v>
      </c>
      <c r="F57" s="294"/>
      <c r="G57" s="2340"/>
      <c r="H57" s="2344"/>
      <c r="I57" s="1669"/>
      <c r="J57" s="3271">
        <f>IF(AND(J55="",J56=""),4,IF(项目基本情况!K6="上海银行",结果表!J56+1,结果表!J55+1))</f>
        <v>5</v>
      </c>
      <c r="K57" s="3271" t="s">
        <v>1367</v>
      </c>
      <c r="L57" s="2316" t="s">
        <v>1368</v>
      </c>
      <c r="M57" s="2317"/>
      <c r="N57" s="2318">
        <f ca="1">SUMIF(M52:M56,"&lt;9e307")</f>
        <v>366</v>
      </c>
      <c r="O57" s="2319"/>
      <c r="P57" s="2464">
        <f ca="1">N57/M49</f>
        <v>0.57637795275590553</v>
      </c>
    </row>
    <row r="58" spans="1:35" ht="24.75">
      <c r="A58" s="2152" t="s">
        <v>1352</v>
      </c>
      <c r="B58" s="3295" t="s">
        <v>1369</v>
      </c>
      <c r="C58" s="3294"/>
      <c r="D58" s="12">
        <f ca="1">IF(H58="转让取得",C81,C97)</f>
        <v>360</v>
      </c>
      <c r="E58" s="1255" t="s">
        <v>1364</v>
      </c>
      <c r="F58" s="294" t="s">
        <v>28</v>
      </c>
      <c r="G58" s="2340"/>
      <c r="H58" s="2343"/>
      <c r="I58" s="1669"/>
      <c r="J58" s="3271"/>
      <c r="K58" s="3271"/>
      <c r="L58" s="2316" t="s">
        <v>1370</v>
      </c>
      <c r="M58" s="2320"/>
      <c r="N58" s="2321" t="str">
        <f ca="1">NUMBERSTRING(INT(N57*10000),2)&amp;"元整"</f>
        <v>叁佰陆拾陆万元整</v>
      </c>
      <c r="O58" s="2322"/>
    </row>
    <row r="59" spans="1:35" ht="24.75" thickBot="1">
      <c r="A59" s="3275" t="s">
        <v>1371</v>
      </c>
      <c r="B59" s="3276"/>
      <c r="C59" s="3276"/>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73">
        <f>J57+1</f>
        <v>6</v>
      </c>
      <c r="K59" s="3271" t="s">
        <v>1372</v>
      </c>
      <c r="L59" s="2309" t="s">
        <v>1368</v>
      </c>
      <c r="M59" s="2323"/>
      <c r="N59" s="2324">
        <f ca="1">M49-N57</f>
        <v>269</v>
      </c>
      <c r="O59" s="2325"/>
    </row>
    <row r="60" spans="1:35" ht="12" customHeight="1">
      <c r="A60" s="1670"/>
      <c r="B60" s="645"/>
      <c r="C60" s="645"/>
      <c r="D60" s="645"/>
      <c r="E60" s="1465"/>
      <c r="F60" s="1669"/>
      <c r="G60" s="1669"/>
      <c r="H60" s="151"/>
      <c r="I60" s="121"/>
      <c r="J60" s="3274"/>
      <c r="K60" s="3271"/>
      <c r="L60" s="2316" t="s">
        <v>1370</v>
      </c>
      <c r="M60" s="2320"/>
      <c r="N60" s="2321" t="str">
        <f ca="1">NUMBERSTRING(INT(N59*10000),2)&amp;"元整"</f>
        <v>贰佰陆拾玖万元整</v>
      </c>
      <c r="O60" s="2322"/>
    </row>
    <row r="61" spans="1:35" ht="13.5" thickBot="1">
      <c r="A61" s="3330" t="s">
        <v>1373</v>
      </c>
      <c r="B61" s="3330"/>
      <c r="C61" s="3330"/>
      <c r="D61" s="3330"/>
      <c r="E61" s="3330"/>
      <c r="F61" s="1669"/>
      <c r="G61" s="1669"/>
      <c r="H61" s="151"/>
      <c r="I61" s="121"/>
      <c r="J61" s="2309">
        <f>J59+1</f>
        <v>7</v>
      </c>
      <c r="K61" s="3271" t="s">
        <v>1374</v>
      </c>
      <c r="L61" s="3271"/>
      <c r="M61" s="2326"/>
      <c r="N61" s="2327">
        <f ca="1">ROUND(N59*10000/'数据-汇总表'!E3,0)</f>
        <v>2514</v>
      </c>
      <c r="O61" s="2328"/>
    </row>
    <row r="62" spans="1:35" ht="12.75">
      <c r="A62" s="3290" t="s">
        <v>1375</v>
      </c>
      <c r="B62" s="3291"/>
      <c r="C62" s="1864"/>
      <c r="D62" s="1864" t="s">
        <v>1376</v>
      </c>
      <c r="E62" s="158" t="s">
        <v>1377</v>
      </c>
      <c r="F62" s="1669"/>
      <c r="G62" s="1669"/>
      <c r="H62" s="151"/>
      <c r="I62" s="121"/>
    </row>
    <row r="63" spans="1:35" ht="12.75">
      <c r="A63" s="165" t="s">
        <v>330</v>
      </c>
      <c r="B63" s="159" t="s">
        <v>1378</v>
      </c>
      <c r="C63" s="2349">
        <f ca="1">ROUND((C64+C65)/(1+'数据-取费表'!C42),0)</f>
        <v>605</v>
      </c>
      <c r="D63" s="159"/>
      <c r="E63" s="160"/>
      <c r="F63" s="1669"/>
      <c r="G63" s="1669"/>
      <c r="H63" s="151"/>
      <c r="I63" s="121"/>
      <c r="J63" s="3254" t="s">
        <v>1379</v>
      </c>
      <c r="K63" s="1244" t="s">
        <v>1380</v>
      </c>
      <c r="L63" s="1244">
        <f ca="1">IF(M49&gt;10000,M49*0.5%,IF(AND(M49&gt;1000,M49&lt;=10000),M49*1%,IF(AND(M49&gt;100,M49&lt;=1000),M49*3%,IF(AND(M49&gt;10,M49&lt;=100),M49*5%,M49*8%))))</f>
        <v>19.05</v>
      </c>
      <c r="M63" s="294">
        <f ca="1">ROUND(L63,1)</f>
        <v>19.100000000000001</v>
      </c>
      <c r="N63" s="2329"/>
      <c r="Z63" s="1622"/>
      <c r="AI63" s="1560"/>
    </row>
    <row r="64" spans="1:35" ht="14.25" customHeight="1">
      <c r="A64" s="161" t="s">
        <v>325</v>
      </c>
      <c r="B64" s="162" t="s">
        <v>1381</v>
      </c>
      <c r="C64" s="2350">
        <f ca="1">D45</f>
        <v>635</v>
      </c>
      <c r="D64" s="162" t="s">
        <v>26</v>
      </c>
      <c r="E64" s="164"/>
      <c r="F64" s="1669"/>
      <c r="G64" s="1669"/>
      <c r="H64" s="151"/>
      <c r="I64" s="121"/>
      <c r="J64" s="3254"/>
      <c r="K64" s="1244" t="s">
        <v>1382</v>
      </c>
      <c r="L64" s="1244">
        <f ca="1">IF(M49&gt;2000,M49*0.5%,IF(AND(M49&gt;1000,M49&lt;=2000),M49*0.6%,IF(AND(M49&gt;500,M49&lt;=1000),M49*0.7%,IF(AND(M49&gt;200,M49&lt;=500),M49*0.8%,IF(AND(M49&gt;100,M49&lt;=200),M49*0.9%,IF(AND(M49&gt;50,M49&lt;=100),M49*1%,IF(AND(M49&gt;20,M49&lt;=50),M49*1.5%,IF(AND(M49&gt;10,M49&lt;=20),M49*2%,IF(AND(M49&gt;1,M49&lt;=10),M49*2.5%)))))))))</f>
        <v>4.4449999999999994</v>
      </c>
      <c r="M64" s="294">
        <f t="shared" ref="M64:M65" ca="1" si="1">ROUND(L64,1)</f>
        <v>4.4000000000000004</v>
      </c>
      <c r="N64" s="2330" t="s">
        <v>1383</v>
      </c>
      <c r="Z64" s="1622"/>
      <c r="AI64" s="1560"/>
    </row>
    <row r="65" spans="1:35" ht="14.25" customHeight="1">
      <c r="A65" s="161" t="s">
        <v>326</v>
      </c>
      <c r="B65" s="162" t="s">
        <v>1384</v>
      </c>
      <c r="C65" s="2351"/>
      <c r="D65" s="162"/>
      <c r="E65" s="164"/>
      <c r="F65" s="1669"/>
      <c r="G65" s="1669"/>
      <c r="H65" s="151"/>
      <c r="I65" s="121"/>
      <c r="J65" s="3254"/>
      <c r="K65" s="1244" t="s">
        <v>1385</v>
      </c>
      <c r="L65" s="1244">
        <f ca="1">IF(M49&gt;1000,M49*0.1%,IF(AND(M49&gt;500,M49&lt;=1000),M49*0.5%,IF(AND(M49&gt;50,M49&lt;=500),M49*1%,IF(AND(M49&gt;1,M49&lt;=50),M49*1.5%))))</f>
        <v>3.1750000000000003</v>
      </c>
      <c r="M65" s="294">
        <f t="shared" ca="1" si="1"/>
        <v>3.2</v>
      </c>
      <c r="N65" s="2330" t="s">
        <v>1383</v>
      </c>
      <c r="Z65" s="1622"/>
      <c r="AI65" s="1560"/>
    </row>
    <row r="66" spans="1:35" ht="14.25" customHeight="1">
      <c r="A66" s="165" t="s">
        <v>327</v>
      </c>
      <c r="B66" s="166" t="s">
        <v>1386</v>
      </c>
      <c r="C66" s="2352"/>
      <c r="D66" s="166" t="s">
        <v>26</v>
      </c>
      <c r="E66" s="1250" t="s">
        <v>671</v>
      </c>
      <c r="F66" s="1669"/>
      <c r="G66" s="1669"/>
      <c r="H66" s="151"/>
      <c r="I66" s="121"/>
      <c r="J66" s="3254"/>
      <c r="K66" s="1244" t="s">
        <v>1387</v>
      </c>
      <c r="L66" s="1244">
        <f ca="1">M49*0.5%</f>
        <v>3.1750000000000003</v>
      </c>
      <c r="M66" s="294">
        <f ca="1">IF(L66&gt;0.5,0.5,ROUND(L66,0))</f>
        <v>0.5</v>
      </c>
      <c r="N66" s="2330" t="s">
        <v>1388</v>
      </c>
      <c r="Z66" s="1622"/>
      <c r="AI66" s="1560"/>
    </row>
    <row r="67" spans="1:35" ht="14.25" customHeight="1">
      <c r="A67" s="165" t="s">
        <v>328</v>
      </c>
      <c r="B67" s="166" t="s">
        <v>1389</v>
      </c>
      <c r="C67" s="2353">
        <f ca="1">C63-C66</f>
        <v>605</v>
      </c>
      <c r="D67" s="162" t="s">
        <v>26</v>
      </c>
      <c r="E67" s="164"/>
      <c r="F67" s="1669"/>
      <c r="G67" s="1669"/>
      <c r="H67" s="151"/>
      <c r="I67" s="121"/>
      <c r="J67" s="3254"/>
      <c r="K67" s="1244" t="s">
        <v>1390</v>
      </c>
      <c r="L67" s="1244">
        <f ca="1">IF(M49&gt;=10000,(8.25+(M49-10000)*0.01%),IF(AND(M49&gt;=8000,M49&lt;10000),(7.85+(M49-8000)*0.02%),IF(AND(M49&gt;=5000,M49&lt;8000),(6.65+(M49-5000)*0.04%),IF(AND(M49&gt;=2000,M49&lt;5000),(4.25+(PM49-2000)*0.08%),IF(AND(M49&gt;=1000,M49&lt;2000),(2.75+(M49-1000)*0.15%),IF(AND(M49&gt;=100,M49&lt;1000),(0.5+(M49-100)*0.25%),IF(AND(M49&gt;0,M49&lt;100),M49*0.5%)))))))</f>
        <v>1.8375000000000001</v>
      </c>
      <c r="M67" s="294">
        <f ca="1">ROUND(L67*0.9,1)</f>
        <v>1.7</v>
      </c>
      <c r="N67" s="2329"/>
      <c r="Z67" s="1622"/>
      <c r="AI67" s="1560"/>
    </row>
    <row r="68" spans="1:35" ht="14.25" customHeight="1" thickBot="1">
      <c r="A68" s="168" t="s">
        <v>329</v>
      </c>
      <c r="B68" s="169" t="s">
        <v>1391</v>
      </c>
      <c r="C68" s="2354">
        <f ca="1">IF(C67&lt;=0,0,ROUND(C67*D68,0))</f>
        <v>33</v>
      </c>
      <c r="D68" s="2355">
        <f>'数据-取费表'!B41</f>
        <v>5.5000000000000007E-2</v>
      </c>
      <c r="E68" s="170"/>
      <c r="F68" s="1669"/>
      <c r="G68" s="1669"/>
      <c r="H68" s="151"/>
      <c r="I68" s="121"/>
      <c r="J68" s="3254"/>
      <c r="K68" s="1244" t="s">
        <v>1392</v>
      </c>
      <c r="L68" s="1244">
        <f ca="1">IF(M49&gt;10000,M49*0.5%,IF(AND(M49&gt;5000,M49&lt;=10000),M49*1%,IF(AND(M49&gt;1000,M49&lt;=5000),M49*2%,IF(AND(M49&gt;200,M49&lt;=1000),M49*3%,M49*5%))))</f>
        <v>19.05</v>
      </c>
      <c r="M68" s="294">
        <f ca="1">ROUND(L68,1)</f>
        <v>19.100000000000001</v>
      </c>
      <c r="N68" s="2329"/>
      <c r="Z68" s="1622"/>
      <c r="AI68" s="1560"/>
    </row>
    <row r="69" spans="1:35" ht="16.5" customHeight="1">
      <c r="A69" s="1671"/>
      <c r="B69" s="1672"/>
      <c r="C69" s="1673"/>
      <c r="D69" s="1674"/>
      <c r="E69" s="1675"/>
      <c r="F69" s="1465"/>
      <c r="G69" s="1465"/>
      <c r="H69" s="1466"/>
      <c r="I69" s="645"/>
      <c r="J69" s="3254"/>
      <c r="K69" s="1244" t="s">
        <v>1393</v>
      </c>
      <c r="L69" s="1244"/>
      <c r="M69" s="294">
        <f ca="1">ROUND(SUM(M63:M68),0)</f>
        <v>48</v>
      </c>
      <c r="N69" s="2331">
        <f ca="1">M69/M49</f>
        <v>7.5590551181102361E-2</v>
      </c>
      <c r="Z69" s="1622"/>
      <c r="AI69" s="1560"/>
    </row>
    <row r="70" spans="1:35" s="641" customFormat="1" ht="15" thickBot="1">
      <c r="A70" s="3298" t="s">
        <v>1394</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0" t="s">
        <v>1375</v>
      </c>
      <c r="B71" s="329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605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95" t="s">
        <v>1402</v>
      </c>
      <c r="F76" s="3294"/>
      <c r="G76" s="3294"/>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3</v>
      </c>
      <c r="D78" s="2362">
        <f>'数据-取费表'!B43</f>
        <v>5.000000000000001E-3</v>
      </c>
      <c r="E78" s="3287" t="s">
        <v>1406</v>
      </c>
      <c r="F78" s="3288"/>
      <c r="G78" s="3288"/>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602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200.66666666666666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360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8" t="s">
        <v>1410</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0" t="s">
        <v>1375</v>
      </c>
      <c r="B84" s="329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605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56" t="s">
        <v>2128</v>
      </c>
      <c r="H90" s="3257"/>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87" t="s">
        <v>1419</v>
      </c>
      <c r="F91" s="3288"/>
      <c r="G91" s="32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87" t="s">
        <v>1422</v>
      </c>
      <c r="F92" s="3288"/>
      <c r="G92" s="3288"/>
      <c r="H92" s="3289"/>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3</v>
      </c>
      <c r="D93" s="2362">
        <f>'数据-取费表'!B43</f>
        <v>5.000000000000001E-3</v>
      </c>
      <c r="E93" s="3287" t="s">
        <v>1406</v>
      </c>
      <c r="F93" s="3288"/>
      <c r="G93" s="3288"/>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32" t="s">
        <v>1426</v>
      </c>
      <c r="F94" s="3333"/>
      <c r="G94" s="3333"/>
      <c r="H94" s="333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602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200.66666666666666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360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0" t="str">
        <f>C4</f>
        <v>比较法-办公</v>
      </c>
      <c r="D101" s="2371" t="str">
        <f>D4</f>
        <v>收益法 (元)</v>
      </c>
      <c r="E101" s="3250" t="s">
        <v>1431</v>
      </c>
      <c r="F101" s="3251"/>
      <c r="G101" s="1686" t="s">
        <v>1432</v>
      </c>
      <c r="H101" s="2380">
        <f ca="1">H118</f>
        <v>635</v>
      </c>
      <c r="I101" s="121"/>
    </row>
    <row r="102" spans="1:35" ht="18.75" customHeight="1">
      <c r="A102" s="3282" t="s">
        <v>1433</v>
      </c>
      <c r="B102" s="2369" t="s">
        <v>1432</v>
      </c>
      <c r="C102" s="2370">
        <f ca="1">IF(D32="楼面单价",ROUND(C19,0),C19)</f>
        <v>704</v>
      </c>
      <c r="D102" s="2371">
        <f ca="1">IF(D32="楼面单价",ROUND(D19,0),D19)</f>
        <v>474</v>
      </c>
      <c r="E102" s="3250"/>
      <c r="F102" s="3251"/>
      <c r="G102" s="1686" t="s">
        <v>1434</v>
      </c>
      <c r="H102" s="2340">
        <f ca="1">I118</f>
        <v>18801</v>
      </c>
      <c r="I102" s="121"/>
    </row>
    <row r="103" spans="1:35" ht="42.75" customHeight="1">
      <c r="A103" s="3282"/>
      <c r="B103" s="2369" t="s">
        <v>1434</v>
      </c>
      <c r="C103" s="2372">
        <f ca="1">C20</f>
        <v>20846</v>
      </c>
      <c r="D103" s="2373">
        <f ca="1">D20</f>
        <v>14029</v>
      </c>
      <c r="E103" s="3243" t="s">
        <v>1435</v>
      </c>
      <c r="F103" s="3244"/>
      <c r="G103" s="1687" t="s">
        <v>1436</v>
      </c>
      <c r="H103" s="2380">
        <f>IF(D36="正常操作",H104+H105+H106,H105+H106)</f>
        <v>0</v>
      </c>
      <c r="I103" s="121"/>
    </row>
    <row r="104" spans="1:35" ht="18.75" customHeight="1">
      <c r="A104" s="3282" t="s">
        <v>1437</v>
      </c>
      <c r="B104" s="2374" t="s">
        <v>1432</v>
      </c>
      <c r="C104" s="2375">
        <f ca="1">H118</f>
        <v>635</v>
      </c>
      <c r="D104" s="2376"/>
      <c r="E104" s="1554" t="s">
        <v>1438</v>
      </c>
      <c r="F104" s="1547"/>
      <c r="G104" s="1687" t="s">
        <v>1436</v>
      </c>
      <c r="H104" s="2381">
        <f>IF(D36="同一抵押权人同一抵押物续贷",C36&amp;"（续贷，未扣减，详见特别提示）",C36)</f>
        <v>0</v>
      </c>
      <c r="I104" s="121"/>
    </row>
    <row r="105" spans="1:35" ht="18.75" customHeight="1" thickBot="1">
      <c r="A105" s="3292"/>
      <c r="B105" s="2377" t="s">
        <v>1434</v>
      </c>
      <c r="C105" s="2378">
        <f ca="1">I118</f>
        <v>18801</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3" t="str">
        <f>IF(项目基本情况!E8="已注销","——","3.房地产抵押价值")</f>
        <v>3.房地产抵押价值</v>
      </c>
      <c r="F107" s="3251"/>
      <c r="G107" s="1686" t="s">
        <v>1432</v>
      </c>
      <c r="H107" s="2380">
        <f ca="1">IF(E107="——","——",H101-H103)</f>
        <v>635</v>
      </c>
      <c r="I107" s="121"/>
    </row>
    <row r="108" spans="1:35" ht="18.75" customHeight="1">
      <c r="A108" s="121"/>
      <c r="B108" s="121"/>
      <c r="C108" s="121"/>
      <c r="D108" s="121"/>
      <c r="E108" s="3283"/>
      <c r="F108" s="3251"/>
      <c r="G108" s="1686" t="s">
        <v>1434</v>
      </c>
      <c r="H108" s="2340">
        <f ca="1">IF(H107=H101,H102,ROUND(H107*10000/'数据-汇总表'!E3,0))</f>
        <v>18801</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6" t="s">
        <v>1432</v>
      </c>
      <c r="H109" s="2383" t="str">
        <f>IF(E109="——","——",H101-H105-H106)</f>
        <v>——</v>
      </c>
      <c r="I109" s="121"/>
    </row>
    <row r="110" spans="1:35" ht="18.75" customHeight="1">
      <c r="A110" s="121"/>
      <c r="B110" s="121"/>
      <c r="C110" s="121"/>
      <c r="D110" s="121"/>
      <c r="E110" s="3283"/>
      <c r="F110" s="3251"/>
      <c r="G110" s="1686" t="s">
        <v>1434</v>
      </c>
      <c r="H110" s="2340"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6" t="s">
        <v>1432</v>
      </c>
      <c r="H111" s="2380" t="str">
        <f>IF(E111="——","——",N59)</f>
        <v>——</v>
      </c>
      <c r="I111" s="121"/>
    </row>
    <row r="112" spans="1:35" ht="18.75" customHeight="1" thickBot="1">
      <c r="A112" s="121"/>
      <c r="B112" s="121"/>
      <c r="C112" s="121"/>
      <c r="D112" s="121"/>
      <c r="E112" s="3285"/>
      <c r="F112" s="3286"/>
      <c r="G112" s="1689" t="s">
        <v>1434</v>
      </c>
      <c r="H112" s="2384" t="str">
        <f>IF(E111="——","——",N61)</f>
        <v>——</v>
      </c>
      <c r="I112" s="121"/>
    </row>
    <row r="113" spans="1:27" ht="18.75" customHeight="1">
      <c r="A113" s="121"/>
      <c r="B113" s="121"/>
      <c r="C113" s="121"/>
      <c r="D113" s="121"/>
      <c r="E113" s="3293" t="s">
        <v>1440</v>
      </c>
      <c r="F113" s="3293"/>
      <c r="G113" s="3293"/>
      <c r="H113" s="3293"/>
      <c r="I113" s="121"/>
    </row>
    <row r="114" spans="1:27" ht="3.75" customHeight="1">
      <c r="A114" s="645"/>
      <c r="B114" s="645"/>
      <c r="C114" s="645"/>
      <c r="D114" s="645"/>
      <c r="E114" s="1670"/>
      <c r="F114" s="1670"/>
      <c r="G114" s="1670"/>
      <c r="H114" s="1670"/>
      <c r="I114" s="645"/>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337.82</v>
      </c>
      <c r="C118" s="2149">
        <f>M19</f>
        <v>0</v>
      </c>
      <c r="D118" s="2149">
        <f ca="1">ROUND(IF(D32="总价",C34,E118*B118/10000),0)</f>
        <v>380</v>
      </c>
      <c r="E118" s="2149">
        <f ca="1">ROUND(IF(C33="自定义",IF(D32="楼面单价",C34,D118*10000/B118),I118-G118),0)</f>
        <v>11262</v>
      </c>
      <c r="F118" s="2149">
        <f ca="1">ROUND(IF(D32="总价",C35,G118*B118/10000),0)</f>
        <v>255</v>
      </c>
      <c r="G118" s="2149">
        <f ca="1">ROUND(IF(D32="楼面单价",C35,F118*10000/B118),0)</f>
        <v>7539</v>
      </c>
      <c r="H118" s="2149">
        <f ca="1">ROUND(IF(D32="总价",C32,I118*B118/10000),0)</f>
        <v>635</v>
      </c>
      <c r="I118" s="2149">
        <f ca="1">ROUND(IF(D32="楼面单价",C32,H118*10000/B118),0)</f>
        <v>18801</v>
      </c>
    </row>
    <row r="119" spans="1:27" ht="18.75" customHeight="1">
      <c r="A119" s="3258" t="s">
        <v>1452</v>
      </c>
      <c r="B119" s="3258"/>
      <c r="C119" s="3258"/>
      <c r="D119" s="3264" t="str">
        <f ca="1">NUMBERSTRING(INT(D118*10000),2)&amp;"元整"</f>
        <v>叁佰捌拾万元整</v>
      </c>
      <c r="E119" s="3265"/>
      <c r="F119" s="3264" t="str">
        <f ca="1">NUMBERSTRING(INT(F118*10000),2)&amp;"元整"</f>
        <v>贰佰伍拾伍万元整</v>
      </c>
      <c r="G119" s="3265"/>
      <c r="H119" s="3264" t="str">
        <f ca="1">NUMBERSTRING(INT(H118*10000),2)&amp;"元整"</f>
        <v>陆佰叁拾伍万元整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4" t="s">
        <v>1452</v>
      </c>
      <c r="B121" s="3266"/>
      <c r="C121" s="3265"/>
      <c r="D121" s="3264" t="str">
        <f>IF(D120=0,"零元整",NUMBERSTRING(INT(D120*10000),2)&amp;"元整")</f>
        <v>零元整</v>
      </c>
      <c r="E121" s="3266"/>
      <c r="F121" s="3266"/>
      <c r="G121" s="3266"/>
      <c r="H121" s="3266"/>
      <c r="I121" s="3265"/>
      <c r="AA121" s="683"/>
    </row>
    <row r="122" spans="1:27" ht="18.75" customHeight="1">
      <c r="A122" s="3270" t="str">
        <f>IF(项目基本情况!B9="房地产市场价值","",MID(E107,3,LEN(E107)-2))</f>
        <v>房地产抵押价值</v>
      </c>
      <c r="B122" s="3270"/>
      <c r="C122" s="3270"/>
      <c r="D122" s="3259">
        <f ca="1">H107</f>
        <v>635</v>
      </c>
      <c r="E122" s="3260"/>
      <c r="F122" s="3260"/>
      <c r="G122" s="3260"/>
      <c r="H122" s="3260"/>
      <c r="I122" s="3261"/>
      <c r="AA122" s="683"/>
    </row>
    <row r="123" spans="1:27" ht="18.75" customHeight="1">
      <c r="A123" s="3258" t="s">
        <v>1452</v>
      </c>
      <c r="B123" s="3258"/>
      <c r="C123" s="3258"/>
      <c r="D123" s="3264" t="str">
        <f ca="1">NUMBERSTRING(INT(D122*10000),2)&amp;"元整"</f>
        <v>陆佰叁拾伍万元整</v>
      </c>
      <c r="E123" s="3266"/>
      <c r="F123" s="3266"/>
      <c r="G123" s="3266"/>
      <c r="H123" s="3266"/>
      <c r="I123" s="3265"/>
      <c r="AA123" s="683"/>
    </row>
    <row r="124" spans="1:27" ht="18.75" customHeight="1">
      <c r="A124" s="3270" t="str">
        <f>IF(项目基本情况!B9="房地产市场价值","",MID(E109,3,LEN(E109)-2))</f>
        <v/>
      </c>
      <c r="B124" s="3270"/>
      <c r="C124" s="3270"/>
      <c r="D124" s="3259" t="str">
        <f>H109</f>
        <v>——</v>
      </c>
      <c r="E124" s="3260"/>
      <c r="F124" s="3260"/>
      <c r="G124" s="3260"/>
      <c r="H124" s="3260"/>
      <c r="I124" s="3261"/>
      <c r="AA124" s="683"/>
    </row>
    <row r="125" spans="1:27" ht="18.75" customHeight="1">
      <c r="A125" s="3258" t="s">
        <v>1452</v>
      </c>
      <c r="B125" s="3258"/>
      <c r="C125" s="3258"/>
      <c r="D125" s="3264" t="e">
        <f>NUMBERSTRING(INT(D124*10000),2)&amp;"元整"</f>
        <v>#VALUE!</v>
      </c>
      <c r="E125" s="3266"/>
      <c r="F125" s="3266"/>
      <c r="G125" s="3266"/>
      <c r="H125" s="3266"/>
      <c r="I125" s="3265"/>
      <c r="AA125" s="683"/>
    </row>
    <row r="126" spans="1:27" ht="18.75" customHeight="1">
      <c r="A126" s="3270" t="str">
        <f>IF(项目基本情况!B9="房地产市场价值","",MID(E111,3,LEN(E111)-2))</f>
        <v/>
      </c>
      <c r="B126" s="3270"/>
      <c r="C126" s="3270"/>
      <c r="D126" s="3259" t="str">
        <f>H111</f>
        <v>——</v>
      </c>
      <c r="E126" s="3260"/>
      <c r="F126" s="3260"/>
      <c r="G126" s="3260"/>
      <c r="H126" s="3260"/>
      <c r="I126" s="3261"/>
      <c r="AA126" s="683"/>
    </row>
    <row r="127" spans="1:27" ht="18.75" customHeight="1">
      <c r="A127" s="3258" t="s">
        <v>1452</v>
      </c>
      <c r="B127" s="3258"/>
      <c r="C127" s="3258"/>
      <c r="D127" s="3264" t="e">
        <f>NUMBERSTRING(INT(D126*10000),2)&amp;"元整"</f>
        <v>#VALUE!</v>
      </c>
      <c r="E127" s="3266"/>
      <c r="F127" s="3266"/>
      <c r="G127" s="3266"/>
      <c r="H127" s="3266"/>
      <c r="I127" s="3265"/>
      <c r="AA127" s="683"/>
    </row>
    <row r="128" spans="1:27" ht="21.75" customHeight="1">
      <c r="A128" s="3267" t="s">
        <v>1453</v>
      </c>
      <c r="B128" s="3267"/>
      <c r="C128" s="3267"/>
      <c r="D128" s="3267"/>
      <c r="E128" s="3267"/>
      <c r="F128" s="3267"/>
      <c r="G128" s="3267"/>
      <c r="H128" s="3267"/>
      <c r="I128" s="326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504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21</v>
      </c>
      <c r="D10" s="794">
        <f ca="1">IF(B1="",'数据-汇总表'!E6,IF(INDIRECT("'数据-取费表'!c"&amp;$G$1)="住宅",INDIRECT("'数据-取费表'!s"&amp;$G$1),INDIRECT("'数据-取费表'!k"&amp;$G$1)+INDIRECT("'数据-取费表'!s"&amp;$G$1)))</f>
        <v>1069.99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21</v>
      </c>
      <c r="D19" s="204">
        <f ca="1">D9+D10</f>
        <v>1069.99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374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21</v>
      </c>
      <c r="D37" s="209">
        <f ca="1">D19</f>
        <v>1069.99</v>
      </c>
      <c r="E37" s="241">
        <f>'数据-取费表'!B35</f>
        <v>200</v>
      </c>
      <c r="F37" s="251"/>
      <c r="G37" s="253" t="s">
        <v>1532</v>
      </c>
    </row>
    <row r="38" spans="1:7" ht="13.5" customHeight="1">
      <c r="A38" s="733" t="s">
        <v>354</v>
      </c>
      <c r="B38" s="207" t="s">
        <v>1533</v>
      </c>
      <c r="C38" s="212">
        <f ca="1">ROUND(C34*F38,0)</f>
        <v>6</v>
      </c>
      <c r="D38" s="212"/>
      <c r="E38" s="212"/>
      <c r="F38" s="251">
        <f>'数据-取费表'!B36</f>
        <v>1.4999999999999999E-2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14</v>
      </c>
      <c r="D42" s="230"/>
      <c r="E42" s="230"/>
      <c r="F42" s="231"/>
      <c r="G42" s="3337" t="s">
        <v>1544</v>
      </c>
    </row>
    <row r="43" spans="1:7" ht="13.5" customHeight="1">
      <c r="A43" s="733" t="s">
        <v>347</v>
      </c>
      <c r="B43" s="207" t="s">
        <v>1545</v>
      </c>
      <c r="C43" s="230">
        <f ca="1">ROUND(IF('数据-取费表'!B22&lt;=1,C39*F22*'数据-取费表'!B21/2,C39*(POWER((1+F22),'数据-取费表'!B21/2)-1)),0)</f>
        <v>0</v>
      </c>
      <c r="D43" s="230"/>
      <c r="E43" s="230"/>
      <c r="F43" s="231"/>
      <c r="G43" s="3338"/>
    </row>
    <row r="44" spans="1:7" ht="13.5" customHeight="1">
      <c r="A44" s="733" t="s">
        <v>348</v>
      </c>
      <c r="B44" s="207" t="s">
        <v>1546</v>
      </c>
      <c r="C44" s="230">
        <f ca="1">ROUND(IF('数据-取费表'!B22&lt;=1,C40*F22*'数据-取费表'!B21/2,C40*(POWER((1+F22),'数据-取费表'!B21/2)-1)),4)</f>
        <v>6.9999999999999999E-4</v>
      </c>
      <c r="D44" s="230"/>
      <c r="E44" s="230"/>
      <c r="F44" s="231"/>
      <c r="G44" s="3339"/>
    </row>
    <row r="45" spans="1:7" s="206" customFormat="1" ht="13.5" customHeight="1">
      <c r="A45" s="247" t="s">
        <v>1547</v>
      </c>
      <c r="B45" s="236" t="s">
        <v>1513</v>
      </c>
      <c r="C45" s="237">
        <f ca="1">C46</f>
        <v>64</v>
      </c>
      <c r="D45" s="227">
        <f ca="1">C47</f>
        <v>3.0000000000000001E-3</v>
      </c>
      <c r="E45" s="228" t="s">
        <v>1539</v>
      </c>
      <c r="F45" s="238">
        <f ca="1">F27</f>
        <v>0.15</v>
      </c>
      <c r="G45" s="239" t="s">
        <v>1548</v>
      </c>
    </row>
    <row r="46" spans="1:7" s="206" customFormat="1" ht="13.5" customHeight="1">
      <c r="A46" s="733" t="s">
        <v>346</v>
      </c>
      <c r="B46" s="240" t="s">
        <v>1549</v>
      </c>
      <c r="C46" s="241">
        <f ca="1">ROUND((C33+C39)*F27,0)</f>
        <v>64</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548</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477</v>
      </c>
      <c r="D51" s="224"/>
      <c r="E51" s="224"/>
      <c r="F51" s="256"/>
      <c r="G51" s="226" t="s">
        <v>1560</v>
      </c>
    </row>
    <row r="52" spans="1:7" s="200" customFormat="1" ht="16.5" thickBot="1">
      <c r="A52" s="257" t="s">
        <v>1561</v>
      </c>
      <c r="B52" s="258"/>
      <c r="C52" s="259">
        <f ca="1">C31+C51</f>
        <v>504</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5" t="str">
        <f>项目基本情况!B1</f>
        <v>北京市房地产抵押价值预评估</v>
      </c>
      <c r="C37" s="3155"/>
      <c r="D37" s="3155"/>
      <c r="E37" s="3155"/>
      <c r="F37" s="3155"/>
      <c r="G37" s="3155"/>
      <c r="H37" s="3155"/>
      <c r="I37" s="315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535.2296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5002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213998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213998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213998</v>
      </c>
      <c r="D10" s="794">
        <f ca="1">IF(B1="",'数据-汇总表'!E6,IF(INDIRECT("'数据-取费表'!c"&amp;$G$1)="住宅",INDIRECT("'数据-取费表'!s"&amp;$G$1),INDIRECT("'数据-取费表'!k"&amp;$G$1)+INDIRECT("'数据-取费表'!s"&amp;$G$1)))</f>
        <v>1069.99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213998</v>
      </c>
      <c r="D19" s="204">
        <f ca="1">D9+D10</f>
        <v>1069.99</v>
      </c>
      <c r="E19" s="203">
        <f>'数据-取费表'!B31</f>
        <v>200</v>
      </c>
      <c r="F19" s="223"/>
      <c r="G19" s="1713"/>
    </row>
    <row r="20" spans="1:7" s="206" customFormat="1" ht="13.5" customHeight="1">
      <c r="A20" s="247" t="s">
        <v>1574</v>
      </c>
      <c r="B20" s="202" t="s">
        <v>1575</v>
      </c>
      <c r="C20" s="224">
        <f ca="1">ROUND((C5+C19)*F20,0)</f>
        <v>8560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29443</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14578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14578</v>
      </c>
      <c r="D24" s="230"/>
      <c r="E24" s="230"/>
      <c r="F24" s="231"/>
      <c r="G24" s="232" t="s">
        <v>1586</v>
      </c>
    </row>
    <row r="25" spans="1:7" s="206" customFormat="1" ht="24">
      <c r="A25" s="733" t="s">
        <v>1476</v>
      </c>
      <c r="B25" s="207" t="s">
        <v>1587</v>
      </c>
      <c r="C25" s="230">
        <f ca="1">ROUND(IF('数据-取费表'!B22&lt;=1,C20*F22*'数据-取费表'!B22/2,C20*(POWER((1+F22),'数据-取费表'!B22/2)-1)),0)</f>
        <v>287</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65483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65483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575259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4202385</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3744965</v>
      </c>
      <c r="D34" s="209"/>
      <c r="E34" s="212"/>
      <c r="F34" s="249"/>
      <c r="G34" s="211"/>
    </row>
    <row r="35" spans="1:7" ht="13.5" customHeight="1">
      <c r="A35" s="733" t="s">
        <v>351</v>
      </c>
      <c r="B35" s="207" t="s">
        <v>1527</v>
      </c>
      <c r="C35" s="212">
        <f ca="1">ROUND(C34*F35,0)</f>
        <v>187248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213998</v>
      </c>
      <c r="D37" s="209">
        <f ca="1">D19</f>
        <v>1069.99</v>
      </c>
      <c r="E37" s="241">
        <f>'数据-取费表'!B35</f>
        <v>200</v>
      </c>
      <c r="F37" s="251"/>
      <c r="G37" s="253"/>
    </row>
    <row r="38" spans="1:7" ht="13.5" customHeight="1">
      <c r="A38" s="733" t="s">
        <v>354</v>
      </c>
      <c r="B38" s="207" t="s">
        <v>1533</v>
      </c>
      <c r="C38" s="212">
        <f ca="1">ROUND(C34*F38,0)</f>
        <v>56174</v>
      </c>
      <c r="D38" s="212"/>
      <c r="E38" s="212"/>
      <c r="F38" s="251">
        <f>'数据-取费表'!B36</f>
        <v>1.4999999999999999E-2</v>
      </c>
      <c r="G38" s="211" t="s">
        <v>1528</v>
      </c>
    </row>
    <row r="39" spans="1:7" s="206" customFormat="1" ht="13.5" customHeight="1">
      <c r="A39" s="247" t="s">
        <v>1534</v>
      </c>
      <c r="B39" s="202" t="s">
        <v>1535</v>
      </c>
      <c r="C39" s="224">
        <f ca="1">ROUND(C33*F20,0)</f>
        <v>84048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143596</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140780</v>
      </c>
      <c r="D42" s="230"/>
      <c r="E42" s="230"/>
      <c r="F42" s="231"/>
      <c r="G42" s="3337" t="s">
        <v>1591</v>
      </c>
    </row>
    <row r="43" spans="1:7" ht="13.5" customHeight="1">
      <c r="A43" s="733" t="s">
        <v>347</v>
      </c>
      <c r="B43" s="207" t="s">
        <v>1545</v>
      </c>
      <c r="C43" s="230">
        <f ca="1">ROUND(IF('数据-取费表'!B22&lt;=1,C39*F22*'数据-取费表'!B20/2,C39*(POWER((1+F22),'数据-取费表'!B20/2)-1)),0)</f>
        <v>2816</v>
      </c>
      <c r="D43" s="230"/>
      <c r="E43" s="230"/>
      <c r="F43" s="231"/>
      <c r="G43" s="3338"/>
    </row>
    <row r="44" spans="1:7" ht="13.5" customHeight="1">
      <c r="A44" s="733" t="s">
        <v>348</v>
      </c>
      <c r="B44" s="207" t="s">
        <v>1546</v>
      </c>
      <c r="C44" s="230">
        <f ca="1">ROUND(IF('数据-取费表'!B22&lt;=1,C40*F22*'数据-取费表'!B20/2,C40*(POWER((1+F22),'数据-取费表'!B20/2)-1)),4)</f>
        <v>6.9999999999999999E-4</v>
      </c>
      <c r="D44" s="230"/>
      <c r="E44" s="230"/>
      <c r="F44" s="231"/>
      <c r="G44" s="3339"/>
    </row>
    <row r="45" spans="1:7" s="206" customFormat="1" ht="13.5" customHeight="1">
      <c r="A45" s="247" t="s">
        <v>1547</v>
      </c>
      <c r="B45" s="236" t="s">
        <v>1513</v>
      </c>
      <c r="C45" s="237">
        <f ca="1">C46</f>
        <v>642965</v>
      </c>
      <c r="D45" s="227">
        <f ca="1">C47</f>
        <v>3.0000000000000001E-3</v>
      </c>
      <c r="E45" s="228" t="s">
        <v>1539</v>
      </c>
      <c r="F45" s="238">
        <f ca="1">F27</f>
        <v>0.15</v>
      </c>
      <c r="G45" s="239" t="s">
        <v>1548</v>
      </c>
    </row>
    <row r="46" spans="1:7" s="206" customFormat="1" ht="13.5" customHeight="1">
      <c r="A46" s="733" t="s">
        <v>346</v>
      </c>
      <c r="B46" s="240" t="s">
        <v>1549</v>
      </c>
      <c r="C46" s="241">
        <f ca="1">ROUND((C33+C39)*F27,0)</f>
        <v>642965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5490847</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4777037</v>
      </c>
      <c r="D51" s="224"/>
      <c r="E51" s="224"/>
      <c r="F51" s="256"/>
      <c r="G51" s="226" t="s">
        <v>1560</v>
      </c>
    </row>
    <row r="52" spans="1:7" s="200" customFormat="1" ht="16.5" thickBot="1">
      <c r="A52" s="257" t="s">
        <v>1561</v>
      </c>
      <c r="B52" s="258"/>
      <c r="C52" s="259">
        <f ca="1">C31+C51</f>
        <v>5352296</v>
      </c>
      <c r="D52" s="258"/>
      <c r="E52" s="258"/>
      <c r="F52" s="258"/>
      <c r="G52" s="260"/>
    </row>
    <row r="55" spans="1:7" ht="15">
      <c r="B55" s="262" t="s">
        <v>1562</v>
      </c>
      <c r="C55" s="263"/>
    </row>
    <row r="56" spans="1:7">
      <c r="B56" s="265" t="s">
        <v>802</v>
      </c>
      <c r="C56" s="267">
        <f ca="1">1-C57</f>
        <v>0.10699999999999998</v>
      </c>
    </row>
    <row r="57" spans="1:7">
      <c r="B57" s="265" t="s">
        <v>803</v>
      </c>
      <c r="C57" s="266">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-23</v>
      </c>
      <c r="C2" s="268" t="s">
        <v>1595</v>
      </c>
      <c r="D2" s="268"/>
      <c r="E2" s="2567"/>
      <c r="F2" s="2567"/>
      <c r="G2" s="2567"/>
      <c r="H2" s="2567"/>
      <c r="I2" s="2567"/>
      <c r="J2" s="2567"/>
      <c r="K2" s="2567"/>
    </row>
    <row r="3" spans="1:33" ht="18" customHeight="1" thickBot="1">
      <c r="A3" s="195" t="s">
        <v>1464</v>
      </c>
      <c r="B3" s="196">
        <f ca="1">ROUND(B2*10000/IF(C1="",'数据-汇总表'!E3,INDIRECT("'数据-取费表'!K"&amp;$K$1)),0)</f>
        <v>-215</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1069.99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21</v>
      </c>
      <c r="D20" s="795">
        <f ca="1">IF(C1="",'数据-汇总表'!E6,IF(INDIRECT("'数据-取费表'!c"&amp;$K$1)="住宅",INDIRECT("'数据-取费表'!s"&amp;$K$1),INDIRECT("'数据-取费表'!k"&amp;$K$1)+INDIRECT("'数据-取费表'!s"&amp;$K$1)))</f>
        <v>1069.99</v>
      </c>
      <c r="E20" s="21">
        <f>'数据-取费表'!B28</f>
        <v>200</v>
      </c>
      <c r="F20" s="755"/>
      <c r="G20" s="12"/>
      <c r="H20" s="760"/>
      <c r="I20" s="760"/>
      <c r="J20" s="760"/>
      <c r="K20" s="761"/>
    </row>
    <row r="21" spans="1:33" s="754" customFormat="1" ht="13.5" customHeight="1">
      <c r="A21" s="743" t="s">
        <v>357</v>
      </c>
      <c r="B21" s="764" t="s">
        <v>1628</v>
      </c>
      <c r="C21" s="765">
        <f ca="1">C16+C17+C18</f>
        <v>21</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-23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2" t="s">
        <v>694</v>
      </c>
      <c r="C6" s="1010">
        <f ca="1">ROUND(F6*F8*F7*(1-F9)/10000,0)</f>
        <v>0</v>
      </c>
      <c r="D6" s="147" t="s">
        <v>2108</v>
      </c>
      <c r="E6" s="294" t="s">
        <v>696</v>
      </c>
      <c r="F6" s="295">
        <f ca="1">INDIRECT("'数据-取费表'!u"&amp;$G$1)</f>
        <v>0</v>
      </c>
      <c r="G6" s="1291"/>
      <c r="H6" s="1005" t="s">
        <v>398</v>
      </c>
      <c r="I6" s="3342" t="s">
        <v>694</v>
      </c>
      <c r="J6" s="293">
        <f ca="1">ROUND(M6*M8*M7*(1-M9)/10000,0)</f>
        <v>0</v>
      </c>
      <c r="K6" s="147" t="s">
        <v>2107</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0</v>
      </c>
      <c r="G7" s="1291"/>
      <c r="H7" s="296"/>
      <c r="I7" s="3343"/>
      <c r="J7" s="298"/>
      <c r="K7" s="299"/>
      <c r="L7" s="294" t="s">
        <v>697</v>
      </c>
      <c r="M7" s="295">
        <f ca="1">F7</f>
        <v>0</v>
      </c>
    </row>
    <row r="8" spans="1:37" ht="18" customHeight="1">
      <c r="A8" s="296"/>
      <c r="B8" s="3343"/>
      <c r="C8" s="298"/>
      <c r="D8" s="299"/>
      <c r="E8" s="294" t="s">
        <v>698</v>
      </c>
      <c r="F8" s="295">
        <f ca="1">INDIRECT("'数据-取费表'!ai"&amp;$G$1)</f>
        <v>0</v>
      </c>
      <c r="G8" s="1291"/>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40" t="s">
        <v>837</v>
      </c>
      <c r="L53" s="334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topLeftCell="E1" zoomScale="80" zoomScaleNormal="80" workbookViewId="0">
      <selection activeCell="P38" sqref="P3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3351</v>
      </c>
      <c r="E2" s="3139"/>
      <c r="F2" s="2597"/>
      <c r="G2" s="2598"/>
      <c r="H2" s="2599"/>
      <c r="I2" s="2600"/>
      <c r="J2" s="3345" t="s">
        <v>2309</v>
      </c>
      <c r="K2" s="3346"/>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47" t="s">
        <v>2319</v>
      </c>
      <c r="K3" s="3348"/>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47" t="s">
        <v>2321</v>
      </c>
      <c r="K4" s="3348"/>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349" t="s">
        <v>2325</v>
      </c>
      <c r="B6" s="3350"/>
      <c r="C6" s="3351"/>
      <c r="D6" s="2621"/>
      <c r="E6" s="2622"/>
      <c r="F6" s="2623"/>
      <c r="G6" s="2624"/>
      <c r="H6" s="2599"/>
      <c r="I6" s="2600"/>
      <c r="J6" s="3352">
        <v>1</v>
      </c>
      <c r="K6" s="3353"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52"/>
      <c r="K7" s="3354"/>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356" t="s">
        <v>2339</v>
      </c>
      <c r="C8" s="3357"/>
      <c r="D8" s="2640" t="s">
        <v>2340</v>
      </c>
      <c r="E8" s="2641" t="s">
        <v>2341</v>
      </c>
      <c r="F8" s="2642" t="s">
        <v>2342</v>
      </c>
      <c r="G8" s="2643"/>
      <c r="H8" s="2599"/>
      <c r="I8" s="2600"/>
      <c r="J8" s="3352"/>
      <c r="K8" s="3354"/>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356" t="s">
        <v>2345</v>
      </c>
      <c r="C9" s="3357"/>
      <c r="D9" s="2640">
        <f>ROUND(D6*E9,0)</f>
        <v>0</v>
      </c>
      <c r="E9" s="2644"/>
      <c r="F9" s="2645" t="s">
        <v>2346</v>
      </c>
      <c r="G9" s="2624"/>
      <c r="H9" s="2599"/>
      <c r="I9" s="2600"/>
      <c r="J9" s="3352"/>
      <c r="K9" s="3354"/>
      <c r="L9" s="2634" t="s">
        <v>2347</v>
      </c>
      <c r="M9" s="2635"/>
      <c r="N9" s="2611"/>
      <c r="O9" s="2636"/>
      <c r="P9" s="2636"/>
      <c r="Q9" s="2637">
        <v>365</v>
      </c>
      <c r="R9" s="2638">
        <f t="shared" si="0"/>
        <v>0</v>
      </c>
      <c r="S9" s="2592"/>
      <c r="T9" s="2592"/>
      <c r="U9" s="2592"/>
      <c r="V9" s="2600"/>
    </row>
    <row r="10" spans="1:22" s="2604" customFormat="1" ht="13.15" customHeight="1">
      <c r="A10" s="2639">
        <v>2</v>
      </c>
      <c r="B10" s="3356" t="s">
        <v>2348</v>
      </c>
      <c r="C10" s="3357"/>
      <c r="D10" s="2640">
        <f>ROUND(D6*E10,0)</f>
        <v>0</v>
      </c>
      <c r="E10" s="2644"/>
      <c r="F10" s="2645" t="s">
        <v>2349</v>
      </c>
      <c r="G10" s="2624"/>
      <c r="H10" s="2599"/>
      <c r="I10" s="2600"/>
      <c r="J10" s="3352"/>
      <c r="K10" s="3354"/>
      <c r="L10" s="2634" t="s">
        <v>2350</v>
      </c>
      <c r="M10" s="2635"/>
      <c r="N10" s="2611"/>
      <c r="O10" s="2636"/>
      <c r="P10" s="2636"/>
      <c r="Q10" s="2637">
        <v>365</v>
      </c>
      <c r="R10" s="2638">
        <f t="shared" si="0"/>
        <v>0</v>
      </c>
      <c r="S10" s="2592"/>
      <c r="T10" s="2592"/>
      <c r="U10" s="2592"/>
      <c r="V10" s="2600"/>
    </row>
    <row r="11" spans="1:22" s="2604" customFormat="1" ht="13.15" customHeight="1">
      <c r="A11" s="2639">
        <v>3</v>
      </c>
      <c r="B11" s="3356" t="s">
        <v>2351</v>
      </c>
      <c r="C11" s="3357"/>
      <c r="D11" s="2640">
        <f>D12+D14+D15+D16</f>
        <v>0</v>
      </c>
      <c r="E11" s="2646" t="e">
        <f>D11/D6</f>
        <v>#DIV/0!</v>
      </c>
      <c r="F11" s="2642"/>
      <c r="G11" s="2643"/>
      <c r="H11" s="2599"/>
      <c r="I11" s="2600"/>
      <c r="J11" s="3352"/>
      <c r="K11" s="3354"/>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58" t="s">
        <v>2354</v>
      </c>
      <c r="C12" s="3359"/>
      <c r="D12" s="2648">
        <f>ROUND(D13*1.2%*(1-30%),0)</f>
        <v>0</v>
      </c>
      <c r="E12" s="2649">
        <v>1.2E-2</v>
      </c>
      <c r="F12" s="2642" t="s">
        <v>2355</v>
      </c>
      <c r="G12" s="2643"/>
      <c r="H12" s="2599"/>
      <c r="I12" s="2600"/>
      <c r="J12" s="3352"/>
      <c r="K12" s="3354"/>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52"/>
      <c r="K13" s="3354"/>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58" t="s">
        <v>2360</v>
      </c>
      <c r="C14" s="3359"/>
      <c r="D14" s="2648">
        <f>ROUND(E14*B5/10000,0)</f>
        <v>0</v>
      </c>
      <c r="E14" s="2637"/>
      <c r="F14" s="2642" t="s">
        <v>2361</v>
      </c>
      <c r="G14" s="2643"/>
      <c r="H14" s="2599"/>
      <c r="I14" s="2600"/>
      <c r="J14" s="3352"/>
      <c r="K14" s="3355"/>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58" t="s">
        <v>2364</v>
      </c>
      <c r="C15" s="3359"/>
      <c r="D15" s="2648">
        <f>ROUND(D6*E15,0)</f>
        <v>0</v>
      </c>
      <c r="E15" s="2649">
        <v>5.5E-2</v>
      </c>
      <c r="F15" s="2642" t="s">
        <v>2365</v>
      </c>
      <c r="G15" s="2624"/>
      <c r="H15" s="2599"/>
      <c r="I15" s="2600"/>
      <c r="J15" s="3352">
        <v>2</v>
      </c>
      <c r="K15" s="3353"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58" t="s">
        <v>2373</v>
      </c>
      <c r="C16" s="3359"/>
      <c r="D16" s="2659">
        <f>D6*E16</f>
        <v>0</v>
      </c>
      <c r="E16" s="2660"/>
      <c r="F16" s="2645" t="s">
        <v>2374</v>
      </c>
      <c r="G16" s="2624"/>
      <c r="H16" s="2599"/>
      <c r="I16" s="2600"/>
      <c r="J16" s="3352"/>
      <c r="K16" s="3354"/>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360" t="s">
        <v>2376</v>
      </c>
      <c r="C17" s="3361"/>
      <c r="D17" s="2662">
        <f>ROUND(D6*E17,0)</f>
        <v>0</v>
      </c>
      <c r="E17" s="2663"/>
      <c r="F17" s="2664" t="s">
        <v>2377</v>
      </c>
      <c r="G17" s="2624"/>
      <c r="H17" s="2599"/>
      <c r="I17" s="2600"/>
      <c r="J17" s="3352"/>
      <c r="K17" s="3354"/>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52"/>
      <c r="K18" s="3354"/>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52"/>
      <c r="K19" s="3355"/>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2">
        <v>3</v>
      </c>
      <c r="K20" s="3353"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52"/>
      <c r="K21" s="3354"/>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52"/>
      <c r="K22" s="3354"/>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52"/>
      <c r="K23" s="3354"/>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52"/>
      <c r="K24" s="3355"/>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62">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6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45" t="s">
        <v>2309</v>
      </c>
      <c r="K32" s="3346"/>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47" t="s">
        <v>2319</v>
      </c>
      <c r="K33" s="3348"/>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47" t="s">
        <v>2321</v>
      </c>
      <c r="K34" s="334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52">
        <v>1</v>
      </c>
      <c r="K36" s="3353"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52"/>
      <c r="K40" s="3355"/>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2">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6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473.9119</v>
      </c>
      <c r="C2" s="1728" t="s">
        <v>1651</v>
      </c>
      <c r="D2" s="1729" t="s">
        <v>1652</v>
      </c>
      <c r="E2" s="2392">
        <f>SUM(E6:E13)</f>
        <v>337.82</v>
      </c>
      <c r="F2" s="2479"/>
      <c r="G2" s="459"/>
      <c r="H2" s="459"/>
      <c r="I2" s="459"/>
      <c r="J2" s="459"/>
      <c r="K2" s="459"/>
      <c r="L2" s="459"/>
      <c r="M2" s="459"/>
      <c r="N2" s="459"/>
      <c r="O2" s="459"/>
      <c r="P2" s="459"/>
      <c r="Q2" s="459"/>
      <c r="R2" s="459"/>
      <c r="S2" s="459"/>
    </row>
    <row r="3" spans="1:22" ht="15.75">
      <c r="A3" s="1727" t="s">
        <v>686</v>
      </c>
      <c r="B3" s="2386">
        <f ca="1">ROUND(B2*10000/E2,0)</f>
        <v>14029</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4" t="s">
        <v>1654</v>
      </c>
      <c r="C5" s="3365"/>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473.9119</v>
      </c>
      <c r="C6" s="1728" t="s">
        <v>1651</v>
      </c>
      <c r="D6" s="2479"/>
      <c r="E6" s="2391">
        <f>IF(OR(A6=0,F6="否"),0,'数据-取费表'!K6+'数据-取费表'!S6)</f>
        <v>337.82</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1069.99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4" t="s">
        <v>1667</v>
      </c>
      <c r="D4" s="3385"/>
      <c r="E4" s="3386" t="s">
        <v>1668</v>
      </c>
      <c r="F4" s="3387"/>
      <c r="G4" s="3384" t="s">
        <v>1669</v>
      </c>
      <c r="H4" s="3385"/>
      <c r="I4" s="3384" t="s">
        <v>1670</v>
      </c>
      <c r="J4" s="3385"/>
      <c r="K4" s="1743" t="s">
        <v>1671</v>
      </c>
      <c r="L4" s="2486"/>
      <c r="M4" s="2487"/>
      <c r="N4" s="2487"/>
      <c r="O4" s="2487"/>
      <c r="P4" s="3388" t="s">
        <v>1672</v>
      </c>
      <c r="Q4" s="3389"/>
      <c r="R4" s="3371" t="s">
        <v>1668</v>
      </c>
      <c r="S4" s="3372"/>
      <c r="T4" s="3371" t="s">
        <v>1669</v>
      </c>
      <c r="U4" s="3372"/>
      <c r="V4" s="3396" t="s">
        <v>1670</v>
      </c>
      <c r="W4" s="3396"/>
      <c r="X4" s="1264"/>
      <c r="Y4" s="3371" t="s">
        <v>1672</v>
      </c>
      <c r="Z4" s="3372"/>
      <c r="AA4" s="3366" t="s">
        <v>1668</v>
      </c>
      <c r="AB4" s="3366" t="s">
        <v>1669</v>
      </c>
      <c r="AC4" s="3366" t="s">
        <v>1670</v>
      </c>
    </row>
    <row r="5" spans="1:29" ht="15">
      <c r="A5" s="348"/>
      <c r="B5" s="349"/>
      <c r="C5" s="3377" t="s">
        <v>1673</v>
      </c>
      <c r="D5" s="3378"/>
      <c r="E5" s="3375" t="s">
        <v>1674</v>
      </c>
      <c r="F5" s="3376"/>
      <c r="G5" s="3377" t="s">
        <v>1675</v>
      </c>
      <c r="H5" s="3378"/>
      <c r="I5" s="3377" t="s">
        <v>1676</v>
      </c>
      <c r="J5" s="3378"/>
      <c r="K5" s="1744"/>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1744"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9" t="s">
        <v>1680</v>
      </c>
      <c r="Q7" s="3397"/>
      <c r="R7" s="663" t="s">
        <v>20</v>
      </c>
      <c r="S7" s="664">
        <f t="shared" ref="S7:S15" si="0">F7</f>
        <v>0</v>
      </c>
      <c r="T7" s="663" t="s">
        <v>20</v>
      </c>
      <c r="U7" s="664">
        <f t="shared" ref="U7:U15" si="1">H7</f>
        <v>0</v>
      </c>
      <c r="V7" s="663" t="s">
        <v>20</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9" t="s">
        <v>1683</v>
      </c>
      <c r="Q8" s="3370"/>
      <c r="R8" s="663" t="s">
        <v>20</v>
      </c>
      <c r="S8" s="664">
        <f t="shared" si="0"/>
        <v>100</v>
      </c>
      <c r="T8" s="663" t="s">
        <v>20</v>
      </c>
      <c r="U8" s="664">
        <f t="shared" si="1"/>
        <v>100</v>
      </c>
      <c r="V8" s="663" t="s">
        <v>20</v>
      </c>
      <c r="W8" s="664">
        <f t="shared" si="2"/>
        <v>100</v>
      </c>
      <c r="X8" s="665"/>
      <c r="Y8" s="3369" t="s">
        <v>1683</v>
      </c>
      <c r="Z8" s="337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3" t="s">
        <v>1686</v>
      </c>
      <c r="Q9" s="530" t="str">
        <f t="shared" ref="Q9:Q15" si="6">B9</f>
        <v>用途</v>
      </c>
      <c r="R9" s="663" t="s">
        <v>14</v>
      </c>
      <c r="S9" s="664">
        <f t="shared" si="0"/>
        <v>100</v>
      </c>
      <c r="T9" s="663" t="s">
        <v>14</v>
      </c>
      <c r="U9" s="664">
        <f t="shared" si="1"/>
        <v>100</v>
      </c>
      <c r="V9" s="663" t="s">
        <v>14</v>
      </c>
      <c r="W9" s="664">
        <f t="shared" si="2"/>
        <v>100</v>
      </c>
      <c r="X9" s="665"/>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3"/>
      <c r="Q11" s="530" t="str">
        <f t="shared" si="6"/>
        <v>容积率</v>
      </c>
      <c r="R11" s="663" t="s">
        <v>18</v>
      </c>
      <c r="S11" s="664" t="e">
        <f t="shared" si="0"/>
        <v>#N/A</v>
      </c>
      <c r="T11" s="663" t="s">
        <v>18</v>
      </c>
      <c r="U11" s="664" t="e">
        <f t="shared" si="1"/>
        <v>#N/A</v>
      </c>
      <c r="V11" s="663" t="s">
        <v>18</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3"/>
      <c r="Q12" s="530">
        <f t="shared" si="6"/>
        <v>111</v>
      </c>
      <c r="R12" s="663" t="s">
        <v>18</v>
      </c>
      <c r="S12" s="664">
        <f t="shared" si="0"/>
        <v>100</v>
      </c>
      <c r="T12" s="663" t="s">
        <v>18</v>
      </c>
      <c r="U12" s="664">
        <f t="shared" si="1"/>
        <v>100</v>
      </c>
      <c r="V12" s="663" t="s">
        <v>18</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3"/>
      <c r="Q13" s="530">
        <f t="shared" si="6"/>
        <v>111</v>
      </c>
      <c r="R13" s="663" t="s">
        <v>18</v>
      </c>
      <c r="S13" s="664">
        <f t="shared" si="0"/>
        <v>100</v>
      </c>
      <c r="T13" s="663" t="s">
        <v>18</v>
      </c>
      <c r="U13" s="664">
        <f t="shared" si="1"/>
        <v>100</v>
      </c>
      <c r="V13" s="663" t="s">
        <v>18</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3"/>
      <c r="Q14" s="530">
        <f t="shared" si="6"/>
        <v>111</v>
      </c>
      <c r="R14" s="663" t="s">
        <v>18</v>
      </c>
      <c r="S14" s="664">
        <f t="shared" si="0"/>
        <v>100</v>
      </c>
      <c r="T14" s="663" t="s">
        <v>18</v>
      </c>
      <c r="U14" s="664">
        <f t="shared" si="1"/>
        <v>100</v>
      </c>
      <c r="V14" s="663" t="s">
        <v>18</v>
      </c>
      <c r="W14" s="664">
        <f t="shared" si="2"/>
        <v>100</v>
      </c>
      <c r="X14" s="665"/>
      <c r="Y14" s="3313"/>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1691</v>
      </c>
      <c r="Q15" s="1262" t="str">
        <f t="shared" si="6"/>
        <v>居住社区成熟度</v>
      </c>
      <c r="R15" s="666" t="s">
        <v>18</v>
      </c>
      <c r="S15" s="667">
        <f t="shared" si="0"/>
        <v>100</v>
      </c>
      <c r="T15" s="666" t="s">
        <v>18</v>
      </c>
      <c r="U15" s="667">
        <f t="shared" si="1"/>
        <v>100</v>
      </c>
      <c r="V15" s="666" t="s">
        <v>18</v>
      </c>
      <c r="W15" s="667">
        <f t="shared" si="2"/>
        <v>100</v>
      </c>
      <c r="X15" s="1264"/>
      <c r="Y15" s="340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0"/>
      <c r="Q16" s="1262"/>
      <c r="R16" s="666"/>
      <c r="S16" s="667"/>
      <c r="T16" s="666"/>
      <c r="U16" s="667"/>
      <c r="V16" s="666"/>
      <c r="W16" s="667"/>
      <c r="X16" s="1264"/>
      <c r="Y16" s="3403"/>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2" t="str">
        <f>B17</f>
        <v>交通便捷度</v>
      </c>
      <c r="R17" s="666" t="s">
        <v>18</v>
      </c>
      <c r="S17" s="667">
        <f>F17</f>
        <v>100</v>
      </c>
      <c r="T17" s="666" t="s">
        <v>18</v>
      </c>
      <c r="U17" s="667">
        <f>H17</f>
        <v>100</v>
      </c>
      <c r="V17" s="666" t="s">
        <v>18</v>
      </c>
      <c r="W17" s="667">
        <f>J17</f>
        <v>100</v>
      </c>
      <c r="X17" s="1264"/>
      <c r="Y17" s="340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0"/>
      <c r="Q18" s="1262"/>
      <c r="R18" s="666"/>
      <c r="S18" s="667"/>
      <c r="T18" s="666"/>
      <c r="U18" s="667"/>
      <c r="V18" s="666"/>
      <c r="W18" s="667"/>
      <c r="X18" s="1264"/>
      <c r="Y18" s="3403"/>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2" t="str">
        <f>B19</f>
        <v>公共配套设施</v>
      </c>
      <c r="R19" s="666" t="s">
        <v>18</v>
      </c>
      <c r="S19" s="667">
        <f>F19</f>
        <v>100</v>
      </c>
      <c r="T19" s="666" t="s">
        <v>18</v>
      </c>
      <c r="U19" s="667">
        <f>H19</f>
        <v>100</v>
      </c>
      <c r="V19" s="666" t="s">
        <v>18</v>
      </c>
      <c r="W19" s="667">
        <f>J19</f>
        <v>100</v>
      </c>
      <c r="X19" s="1264"/>
      <c r="Y19" s="340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0"/>
      <c r="Q20" s="1262"/>
      <c r="R20" s="666"/>
      <c r="S20" s="667"/>
      <c r="T20" s="666"/>
      <c r="U20" s="667"/>
      <c r="V20" s="666"/>
      <c r="W20" s="667"/>
      <c r="X20" s="1264"/>
      <c r="Y20" s="3403"/>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10"/>
      <c r="Q22" s="1262"/>
      <c r="R22" s="666"/>
      <c r="S22" s="667"/>
      <c r="T22" s="666"/>
      <c r="U22" s="667"/>
      <c r="V22" s="666"/>
      <c r="W22" s="667"/>
      <c r="X22" s="1264"/>
      <c r="Y22" s="3403"/>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2" t="str">
        <f>B23</f>
        <v>自然及人文环境</v>
      </c>
      <c r="R23" s="666" t="s">
        <v>18</v>
      </c>
      <c r="S23" s="667">
        <f>F23</f>
        <v>100</v>
      </c>
      <c r="T23" s="666" t="s">
        <v>18</v>
      </c>
      <c r="U23" s="667">
        <f>H23</f>
        <v>100</v>
      </c>
      <c r="V23" s="666" t="s">
        <v>18</v>
      </c>
      <c r="W23" s="667">
        <f>J23</f>
        <v>100</v>
      </c>
      <c r="X23" s="1264"/>
      <c r="Y23" s="340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0"/>
      <c r="Q24" s="1262"/>
      <c r="R24" s="666"/>
      <c r="S24" s="667"/>
      <c r="T24" s="666"/>
      <c r="U24" s="667"/>
      <c r="V24" s="666"/>
      <c r="W24" s="667"/>
      <c r="X24" s="1264"/>
      <c r="Y24" s="340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0"/>
      <c r="Q26" s="1262" t="str">
        <f t="shared" si="11"/>
        <v>朝向</v>
      </c>
      <c r="R26" s="666" t="s">
        <v>18</v>
      </c>
      <c r="S26" s="667">
        <f t="shared" si="12"/>
        <v>100</v>
      </c>
      <c r="T26" s="666" t="s">
        <v>18</v>
      </c>
      <c r="U26" s="667">
        <f t="shared" si="13"/>
        <v>100</v>
      </c>
      <c r="V26" s="666" t="s">
        <v>18</v>
      </c>
      <c r="W26" s="667">
        <f t="shared" si="14"/>
        <v>100</v>
      </c>
      <c r="X26" s="1264"/>
      <c r="Y26" s="340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0"/>
      <c r="Q27" s="530">
        <f t="shared" si="11"/>
        <v>111</v>
      </c>
      <c r="R27" s="663" t="s">
        <v>18</v>
      </c>
      <c r="S27" s="664">
        <f t="shared" si="12"/>
        <v>100</v>
      </c>
      <c r="T27" s="663" t="s">
        <v>18</v>
      </c>
      <c r="U27" s="664">
        <f t="shared" si="13"/>
        <v>100</v>
      </c>
      <c r="V27" s="663" t="s">
        <v>18</v>
      </c>
      <c r="W27" s="664">
        <f t="shared" si="14"/>
        <v>100</v>
      </c>
      <c r="X27" s="665"/>
      <c r="Y27" s="340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0"/>
      <c r="Q28" s="1262">
        <f t="shared" si="11"/>
        <v>111</v>
      </c>
      <c r="R28" s="666" t="s">
        <v>18</v>
      </c>
      <c r="S28" s="667">
        <f t="shared" si="12"/>
        <v>100</v>
      </c>
      <c r="T28" s="666" t="s">
        <v>18</v>
      </c>
      <c r="U28" s="667">
        <f t="shared" si="13"/>
        <v>100</v>
      </c>
      <c r="V28" s="666" t="s">
        <v>18</v>
      </c>
      <c r="W28" s="667">
        <f t="shared" si="14"/>
        <v>100</v>
      </c>
      <c r="X28" s="1264"/>
      <c r="Y28" s="340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0"/>
      <c r="Q29" s="1262">
        <f t="shared" si="11"/>
        <v>111</v>
      </c>
      <c r="R29" s="666" t="s">
        <v>18</v>
      </c>
      <c r="S29" s="667">
        <f t="shared" si="12"/>
        <v>100</v>
      </c>
      <c r="T29" s="666" t="s">
        <v>18</v>
      </c>
      <c r="U29" s="667">
        <f t="shared" si="13"/>
        <v>100</v>
      </c>
      <c r="V29" s="666" t="s">
        <v>18</v>
      </c>
      <c r="W29" s="667">
        <f t="shared" si="14"/>
        <v>100</v>
      </c>
      <c r="X29" s="1264"/>
      <c r="Y29" s="340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0"/>
      <c r="Q30" s="1262">
        <f t="shared" si="11"/>
        <v>111</v>
      </c>
      <c r="R30" s="666" t="s">
        <v>18</v>
      </c>
      <c r="S30" s="667">
        <f t="shared" si="12"/>
        <v>100</v>
      </c>
      <c r="T30" s="666" t="s">
        <v>18</v>
      </c>
      <c r="U30" s="667">
        <f t="shared" si="13"/>
        <v>100</v>
      </c>
      <c r="V30" s="666" t="s">
        <v>18</v>
      </c>
      <c r="W30" s="667">
        <f t="shared" si="14"/>
        <v>100</v>
      </c>
      <c r="X30" s="1264"/>
      <c r="Y30" s="340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0"/>
      <c r="Q31" s="1262">
        <f t="shared" si="11"/>
        <v>111</v>
      </c>
      <c r="R31" s="666" t="s">
        <v>18</v>
      </c>
      <c r="S31" s="667">
        <f t="shared" si="12"/>
        <v>100</v>
      </c>
      <c r="T31" s="666" t="s">
        <v>18</v>
      </c>
      <c r="U31" s="667">
        <f t="shared" si="13"/>
        <v>100</v>
      </c>
      <c r="V31" s="666" t="s">
        <v>18</v>
      </c>
      <c r="W31" s="667">
        <f t="shared" si="14"/>
        <v>100</v>
      </c>
      <c r="X31" s="1264"/>
      <c r="Y31" s="340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4" t="s">
        <v>1696</v>
      </c>
      <c r="Q32" s="1262" t="str">
        <f t="shared" si="11"/>
        <v>建筑类型</v>
      </c>
      <c r="R32" s="666" t="s">
        <v>18</v>
      </c>
      <c r="S32" s="667">
        <f t="shared" si="12"/>
        <v>100</v>
      </c>
      <c r="T32" s="666" t="s">
        <v>18</v>
      </c>
      <c r="U32" s="667">
        <f t="shared" si="13"/>
        <v>100</v>
      </c>
      <c r="V32" s="666" t="s">
        <v>18</v>
      </c>
      <c r="W32" s="667">
        <f t="shared" si="14"/>
        <v>100</v>
      </c>
      <c r="X32" s="1264"/>
      <c r="Y32" s="340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5"/>
      <c r="Q33" s="531" t="str">
        <f t="shared" si="11"/>
        <v>项目建筑规模</v>
      </c>
      <c r="R33" s="668" t="s">
        <v>18</v>
      </c>
      <c r="S33" s="669" t="e">
        <f t="shared" si="12"/>
        <v>#N/A</v>
      </c>
      <c r="T33" s="668" t="s">
        <v>18</v>
      </c>
      <c r="U33" s="669" t="e">
        <f t="shared" si="13"/>
        <v>#N/A</v>
      </c>
      <c r="V33" s="668" t="s">
        <v>18</v>
      </c>
      <c r="W33" s="669" t="e">
        <f t="shared" si="14"/>
        <v>#N/A</v>
      </c>
      <c r="X33" s="670"/>
      <c r="Y33" s="3407"/>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5"/>
      <c r="Q34" s="1262" t="str">
        <f t="shared" si="11"/>
        <v>建筑结构</v>
      </c>
      <c r="R34" s="666" t="s">
        <v>18</v>
      </c>
      <c r="S34" s="667">
        <f t="shared" si="12"/>
        <v>100</v>
      </c>
      <c r="T34" s="666" t="s">
        <v>18</v>
      </c>
      <c r="U34" s="667">
        <f t="shared" si="13"/>
        <v>100</v>
      </c>
      <c r="V34" s="666" t="s">
        <v>18</v>
      </c>
      <c r="W34" s="667">
        <f t="shared" si="14"/>
        <v>100</v>
      </c>
      <c r="X34" s="1264"/>
      <c r="Y34" s="340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5"/>
      <c r="Q35" s="1262" t="str">
        <f t="shared" si="11"/>
        <v>建筑品质</v>
      </c>
      <c r="R35" s="666" t="s">
        <v>18</v>
      </c>
      <c r="S35" s="667">
        <f t="shared" si="12"/>
        <v>100</v>
      </c>
      <c r="T35" s="666" t="s">
        <v>18</v>
      </c>
      <c r="U35" s="667">
        <f t="shared" si="13"/>
        <v>100</v>
      </c>
      <c r="V35" s="666" t="s">
        <v>18</v>
      </c>
      <c r="W35" s="667">
        <f t="shared" si="14"/>
        <v>100</v>
      </c>
      <c r="X35" s="1264"/>
      <c r="Y35" s="340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5"/>
      <c r="Q36" s="1262" t="str">
        <f t="shared" si="11"/>
        <v>公共部分装修</v>
      </c>
      <c r="R36" s="666" t="s">
        <v>18</v>
      </c>
      <c r="S36" s="667">
        <f t="shared" si="12"/>
        <v>100</v>
      </c>
      <c r="T36" s="666" t="s">
        <v>18</v>
      </c>
      <c r="U36" s="667">
        <f t="shared" si="13"/>
        <v>100</v>
      </c>
      <c r="V36" s="666" t="s">
        <v>18</v>
      </c>
      <c r="W36" s="667">
        <f t="shared" si="14"/>
        <v>100</v>
      </c>
      <c r="X36" s="1264"/>
      <c r="Y36" s="340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5"/>
      <c r="Q37" s="530" t="str">
        <f t="shared" si="11"/>
        <v>成新度</v>
      </c>
      <c r="R37" s="663" t="s">
        <v>18</v>
      </c>
      <c r="S37" s="664" t="e">
        <f t="shared" si="12"/>
        <v>#N/A</v>
      </c>
      <c r="T37" s="663" t="s">
        <v>18</v>
      </c>
      <c r="U37" s="664" t="e">
        <f t="shared" si="13"/>
        <v>#N/A</v>
      </c>
      <c r="V37" s="663" t="s">
        <v>18</v>
      </c>
      <c r="W37" s="664" t="e">
        <f t="shared" si="14"/>
        <v>#N/A</v>
      </c>
      <c r="X37" s="665"/>
      <c r="Y37" s="340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5" t="s">
        <v>1696</v>
      </c>
      <c r="Q38" s="1262" t="str">
        <f t="shared" si="11"/>
        <v>物业管理</v>
      </c>
      <c r="R38" s="666" t="s">
        <v>18</v>
      </c>
      <c r="S38" s="667">
        <f t="shared" si="12"/>
        <v>100</v>
      </c>
      <c r="T38" s="666" t="s">
        <v>18</v>
      </c>
      <c r="U38" s="667">
        <f t="shared" si="13"/>
        <v>100</v>
      </c>
      <c r="V38" s="666" t="s">
        <v>18</v>
      </c>
      <c r="W38" s="667">
        <f t="shared" si="14"/>
        <v>100</v>
      </c>
      <c r="X38" s="1264"/>
      <c r="Y38" s="340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5"/>
      <c r="Q39" s="1262" t="str">
        <f t="shared" si="11"/>
        <v>市政基础设施</v>
      </c>
      <c r="R39" s="666" t="s">
        <v>18</v>
      </c>
      <c r="S39" s="667">
        <f t="shared" si="12"/>
        <v>100</v>
      </c>
      <c r="T39" s="666" t="s">
        <v>18</v>
      </c>
      <c r="U39" s="667">
        <f t="shared" si="13"/>
        <v>100</v>
      </c>
      <c r="V39" s="666" t="s">
        <v>18</v>
      </c>
      <c r="W39" s="667">
        <f t="shared" si="14"/>
        <v>100</v>
      </c>
      <c r="X39" s="1264"/>
      <c r="Y39" s="340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5"/>
      <c r="Q40" s="1262" t="str">
        <f t="shared" si="11"/>
        <v>房型</v>
      </c>
      <c r="R40" s="666" t="s">
        <v>18</v>
      </c>
      <c r="S40" s="667">
        <f t="shared" si="12"/>
        <v>100</v>
      </c>
      <c r="T40" s="666" t="s">
        <v>18</v>
      </c>
      <c r="U40" s="667">
        <f t="shared" si="13"/>
        <v>100</v>
      </c>
      <c r="V40" s="666" t="s">
        <v>18</v>
      </c>
      <c r="W40" s="667">
        <f t="shared" si="14"/>
        <v>100</v>
      </c>
      <c r="X40" s="1264"/>
      <c r="Y40" s="340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5"/>
      <c r="Q41" s="531"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5"/>
      <c r="Q42" s="1262" t="str">
        <f t="shared" si="11"/>
        <v>内部装修</v>
      </c>
      <c r="R42" s="666" t="s">
        <v>18</v>
      </c>
      <c r="S42" s="667">
        <f t="shared" si="12"/>
        <v>100</v>
      </c>
      <c r="T42" s="666" t="s">
        <v>18</v>
      </c>
      <c r="U42" s="667">
        <f t="shared" si="13"/>
        <v>100</v>
      </c>
      <c r="V42" s="666" t="s">
        <v>18</v>
      </c>
      <c r="W42" s="667">
        <f t="shared" si="14"/>
        <v>100</v>
      </c>
      <c r="X42" s="1264"/>
      <c r="Y42" s="3407"/>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5"/>
      <c r="Q43" s="1262" t="str">
        <f t="shared" si="11"/>
        <v>内部装修维护情况</v>
      </c>
      <c r="R43" s="666" t="s">
        <v>18</v>
      </c>
      <c r="S43" s="667">
        <f t="shared" si="12"/>
        <v>100</v>
      </c>
      <c r="T43" s="666" t="s">
        <v>18</v>
      </c>
      <c r="U43" s="667">
        <f t="shared" si="13"/>
        <v>100</v>
      </c>
      <c r="V43" s="666" t="s">
        <v>18</v>
      </c>
      <c r="W43" s="667">
        <f t="shared" si="14"/>
        <v>100</v>
      </c>
      <c r="X43" s="1264"/>
      <c r="Y43" s="340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5"/>
      <c r="Q44" s="530">
        <f t="shared" si="11"/>
        <v>111</v>
      </c>
      <c r="R44" s="663" t="s">
        <v>18</v>
      </c>
      <c r="S44" s="664">
        <f t="shared" si="12"/>
        <v>100</v>
      </c>
      <c r="T44" s="663" t="s">
        <v>18</v>
      </c>
      <c r="U44" s="664">
        <f t="shared" si="13"/>
        <v>100</v>
      </c>
      <c r="V44" s="663" t="s">
        <v>18</v>
      </c>
      <c r="W44" s="664">
        <f t="shared" si="14"/>
        <v>100</v>
      </c>
      <c r="X44" s="665"/>
      <c r="Y44" s="340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5"/>
      <c r="Q45" s="1262">
        <f t="shared" si="11"/>
        <v>111</v>
      </c>
      <c r="R45" s="666" t="s">
        <v>18</v>
      </c>
      <c r="S45" s="667">
        <f t="shared" si="12"/>
        <v>100</v>
      </c>
      <c r="T45" s="666" t="s">
        <v>18</v>
      </c>
      <c r="U45" s="667">
        <f t="shared" si="13"/>
        <v>100</v>
      </c>
      <c r="V45" s="666" t="s">
        <v>18</v>
      </c>
      <c r="W45" s="667">
        <f t="shared" si="14"/>
        <v>100</v>
      </c>
      <c r="X45" s="1264"/>
      <c r="Y45" s="340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6"/>
      <c r="Q46" s="1262">
        <f t="shared" si="11"/>
        <v>111</v>
      </c>
      <c r="R46" s="666" t="s">
        <v>17</v>
      </c>
      <c r="S46" s="667">
        <f t="shared" si="12"/>
        <v>100</v>
      </c>
      <c r="T46" s="666" t="s">
        <v>17</v>
      </c>
      <c r="U46" s="667">
        <f t="shared" si="13"/>
        <v>100</v>
      </c>
      <c r="V46" s="666" t="s">
        <v>17</v>
      </c>
      <c r="W46" s="667">
        <f t="shared" si="14"/>
        <v>100</v>
      </c>
      <c r="X46" s="1264"/>
      <c r="Y46" s="3408"/>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01" t="str">
        <f>A47</f>
        <v>成交单价（元/平方米）</v>
      </c>
      <c r="Q47" s="3401"/>
      <c r="R47" s="3396">
        <f>E47</f>
        <v>0</v>
      </c>
      <c r="S47" s="3396"/>
      <c r="T47" s="3396">
        <f>G47</f>
        <v>0</v>
      </c>
      <c r="U47" s="3396"/>
      <c r="V47" s="3396">
        <f>I47</f>
        <v>0</v>
      </c>
      <c r="W47" s="3396"/>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1069.99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96"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96"/>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96"/>
      <c r="AC6" s="3368"/>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69" t="s">
        <v>1683</v>
      </c>
      <c r="Q8" s="3370"/>
      <c r="R8" s="663" t="s">
        <v>14</v>
      </c>
      <c r="S8" s="664">
        <f t="shared" si="0"/>
        <v>100</v>
      </c>
      <c r="T8" s="663" t="s">
        <v>14</v>
      </c>
      <c r="U8" s="664">
        <f t="shared" si="1"/>
        <v>100</v>
      </c>
      <c r="V8" s="663" t="s">
        <v>14</v>
      </c>
      <c r="W8" s="664">
        <f t="shared" si="2"/>
        <v>100</v>
      </c>
      <c r="X8" s="665"/>
      <c r="Y8" s="3369" t="s">
        <v>1683</v>
      </c>
      <c r="Z8" s="337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3" t="s">
        <v>1686</v>
      </c>
      <c r="Q9" s="530" t="str">
        <f t="shared" ref="Q9:Q15" si="6">B9</f>
        <v>用途</v>
      </c>
      <c r="R9" s="663" t="s">
        <v>14</v>
      </c>
      <c r="S9" s="664">
        <f t="shared" si="0"/>
        <v>100</v>
      </c>
      <c r="T9" s="663" t="s">
        <v>14</v>
      </c>
      <c r="U9" s="664">
        <f t="shared" si="1"/>
        <v>100</v>
      </c>
      <c r="V9" s="663" t="s">
        <v>14</v>
      </c>
      <c r="W9" s="664">
        <f t="shared" si="2"/>
        <v>100</v>
      </c>
      <c r="X9" s="665"/>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3"/>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9" t="s">
        <v>1691</v>
      </c>
      <c r="Q15" s="1262" t="str">
        <f t="shared" si="6"/>
        <v>商业繁华度</v>
      </c>
      <c r="R15" s="666" t="s">
        <v>14</v>
      </c>
      <c r="S15" s="667">
        <f t="shared" si="0"/>
        <v>100</v>
      </c>
      <c r="T15" s="666" t="s">
        <v>14</v>
      </c>
      <c r="U15" s="667">
        <f t="shared" si="1"/>
        <v>100</v>
      </c>
      <c r="V15" s="666" t="s">
        <v>14</v>
      </c>
      <c r="W15" s="667">
        <f t="shared" si="2"/>
        <v>100</v>
      </c>
      <c r="X15" s="1264"/>
      <c r="Y15" s="340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10"/>
      <c r="Q16" s="1262"/>
      <c r="R16" s="666"/>
      <c r="S16" s="667"/>
      <c r="T16" s="666"/>
      <c r="U16" s="667"/>
      <c r="V16" s="666"/>
      <c r="W16" s="667"/>
      <c r="X16" s="1264"/>
      <c r="Y16" s="3403"/>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10"/>
      <c r="Q18" s="1262"/>
      <c r="R18" s="666"/>
      <c r="S18" s="667"/>
      <c r="T18" s="666"/>
      <c r="U18" s="667"/>
      <c r="V18" s="666"/>
      <c r="W18" s="667"/>
      <c r="X18" s="1264"/>
      <c r="Y18" s="3403"/>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10"/>
      <c r="Q20" s="1262"/>
      <c r="R20" s="666"/>
      <c r="S20" s="667"/>
      <c r="T20" s="666"/>
      <c r="U20" s="667"/>
      <c r="V20" s="666"/>
      <c r="W20" s="667"/>
      <c r="X20" s="1264"/>
      <c r="Y20" s="3403"/>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410"/>
      <c r="Q22" s="1262"/>
      <c r="R22" s="666"/>
      <c r="S22" s="667"/>
      <c r="T22" s="666"/>
      <c r="U22" s="667"/>
      <c r="V22" s="666"/>
      <c r="W22" s="667"/>
      <c r="X22" s="1264"/>
      <c r="Y22" s="3403"/>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03"/>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10"/>
      <c r="Q24" s="1262"/>
      <c r="R24" s="666"/>
      <c r="S24" s="667"/>
      <c r="T24" s="666"/>
      <c r="U24" s="667"/>
      <c r="V24" s="666"/>
      <c r="W24" s="667"/>
      <c r="X24" s="1264"/>
      <c r="Y24" s="340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03"/>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0"/>
      <c r="Q26" s="1262" t="str">
        <f t="shared" si="11"/>
        <v>平面位置/可视性</v>
      </c>
      <c r="R26" s="666" t="s">
        <v>14</v>
      </c>
      <c r="S26" s="667">
        <f>F26</f>
        <v>100</v>
      </c>
      <c r="T26" s="666" t="s">
        <v>14</v>
      </c>
      <c r="U26" s="667">
        <f>H26</f>
        <v>100</v>
      </c>
      <c r="V26" s="666" t="s">
        <v>14</v>
      </c>
      <c r="W26" s="667">
        <f>J26</f>
        <v>100</v>
      </c>
      <c r="X26" s="1264"/>
      <c r="Y26" s="3403"/>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0"/>
      <c r="Q27" s="530" t="str">
        <f t="shared" si="11"/>
        <v>人流量</v>
      </c>
      <c r="R27" s="663" t="s">
        <v>14</v>
      </c>
      <c r="S27" s="664">
        <f>F27</f>
        <v>100</v>
      </c>
      <c r="T27" s="663" t="s">
        <v>14</v>
      </c>
      <c r="U27" s="664">
        <f>H27</f>
        <v>100</v>
      </c>
      <c r="V27" s="663" t="s">
        <v>14</v>
      </c>
      <c r="W27" s="664">
        <f>J27</f>
        <v>100</v>
      </c>
      <c r="X27" s="665"/>
      <c r="Y27" s="340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0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4" t="s">
        <v>1696</v>
      </c>
      <c r="Q32" s="1262" t="str">
        <f t="shared" si="11"/>
        <v>商业类型</v>
      </c>
      <c r="R32" s="666" t="s">
        <v>14</v>
      </c>
      <c r="S32" s="667">
        <f t="shared" si="12"/>
        <v>100</v>
      </c>
      <c r="T32" s="666" t="s">
        <v>14</v>
      </c>
      <c r="U32" s="667">
        <f t="shared" si="13"/>
        <v>100</v>
      </c>
      <c r="V32" s="666" t="s">
        <v>14</v>
      </c>
      <c r="W32" s="667">
        <f t="shared" si="14"/>
        <v>100</v>
      </c>
      <c r="X32" s="1264"/>
      <c r="Y32" s="340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5"/>
      <c r="Q33" s="531" t="str">
        <f t="shared" si="11"/>
        <v>项目建筑规模</v>
      </c>
      <c r="R33" s="668" t="s">
        <v>14</v>
      </c>
      <c r="S33" s="669" t="e">
        <f t="shared" si="12"/>
        <v>#N/A</v>
      </c>
      <c r="T33" s="668" t="s">
        <v>14</v>
      </c>
      <c r="U33" s="669" t="e">
        <f t="shared" si="13"/>
        <v>#N/A</v>
      </c>
      <c r="V33" s="668" t="s">
        <v>14</v>
      </c>
      <c r="W33" s="669" t="e">
        <f t="shared" si="14"/>
        <v>#N/A</v>
      </c>
      <c r="X33" s="670"/>
      <c r="Y33" s="3407"/>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5"/>
      <c r="Q34" s="1262" t="str">
        <f t="shared" si="11"/>
        <v>建筑结构</v>
      </c>
      <c r="R34" s="666" t="s">
        <v>14</v>
      </c>
      <c r="S34" s="667">
        <f t="shared" si="12"/>
        <v>100</v>
      </c>
      <c r="T34" s="666" t="s">
        <v>14</v>
      </c>
      <c r="U34" s="667">
        <f t="shared" si="13"/>
        <v>100</v>
      </c>
      <c r="V34" s="666" t="s">
        <v>14</v>
      </c>
      <c r="W34" s="667">
        <f t="shared" si="14"/>
        <v>100</v>
      </c>
      <c r="X34" s="1264"/>
      <c r="Y34" s="340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5"/>
      <c r="Q35" s="1262" t="str">
        <f t="shared" si="11"/>
        <v>公共部分装修</v>
      </c>
      <c r="R35" s="666" t="s">
        <v>14</v>
      </c>
      <c r="S35" s="667">
        <f t="shared" si="12"/>
        <v>100</v>
      </c>
      <c r="T35" s="666" t="s">
        <v>14</v>
      </c>
      <c r="U35" s="667">
        <f t="shared" si="13"/>
        <v>100</v>
      </c>
      <c r="V35" s="666" t="s">
        <v>14</v>
      </c>
      <c r="W35" s="667">
        <f t="shared" si="14"/>
        <v>100</v>
      </c>
      <c r="X35" s="1264"/>
      <c r="Y35" s="340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5"/>
      <c r="Q36" s="1262" t="str">
        <f t="shared" si="11"/>
        <v>成新度</v>
      </c>
      <c r="R36" s="666" t="s">
        <v>14</v>
      </c>
      <c r="S36" s="667" t="e">
        <f t="shared" si="12"/>
        <v>#N/A</v>
      </c>
      <c r="T36" s="666" t="s">
        <v>14</v>
      </c>
      <c r="U36" s="667" t="e">
        <f t="shared" si="13"/>
        <v>#N/A</v>
      </c>
      <c r="V36" s="666" t="s">
        <v>14</v>
      </c>
      <c r="W36" s="667" t="e">
        <f t="shared" si="14"/>
        <v>#N/A</v>
      </c>
      <c r="X36" s="1264"/>
      <c r="Y36" s="340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5"/>
      <c r="Q37" s="530"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5" t="s">
        <v>1696</v>
      </c>
      <c r="Q38" s="1262" t="str">
        <f t="shared" si="11"/>
        <v>业态</v>
      </c>
      <c r="R38" s="666" t="s">
        <v>14</v>
      </c>
      <c r="S38" s="667">
        <f t="shared" si="12"/>
        <v>100</v>
      </c>
      <c r="T38" s="666" t="s">
        <v>14</v>
      </c>
      <c r="U38" s="667">
        <f t="shared" si="13"/>
        <v>100</v>
      </c>
      <c r="V38" s="666" t="s">
        <v>14</v>
      </c>
      <c r="W38" s="667">
        <f t="shared" si="14"/>
        <v>100</v>
      </c>
      <c r="X38" s="1264"/>
      <c r="Y38" s="340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5"/>
      <c r="Q39" s="1262" t="str">
        <f t="shared" si="11"/>
        <v>层高</v>
      </c>
      <c r="R39" s="666" t="s">
        <v>14</v>
      </c>
      <c r="S39" s="667">
        <f t="shared" si="12"/>
        <v>100</v>
      </c>
      <c r="T39" s="666" t="s">
        <v>14</v>
      </c>
      <c r="U39" s="667">
        <f t="shared" si="13"/>
        <v>100</v>
      </c>
      <c r="V39" s="666" t="s">
        <v>14</v>
      </c>
      <c r="W39" s="667">
        <f t="shared" si="14"/>
        <v>100</v>
      </c>
      <c r="X39" s="1264"/>
      <c r="Y39" s="340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5"/>
      <c r="Q40" s="1262" t="str">
        <f t="shared" si="11"/>
        <v>单套建筑面积</v>
      </c>
      <c r="R40" s="666" t="s">
        <v>14</v>
      </c>
      <c r="S40" s="667">
        <f t="shared" si="12"/>
        <v>100</v>
      </c>
      <c r="T40" s="666" t="s">
        <v>14</v>
      </c>
      <c r="U40" s="667">
        <f t="shared" si="13"/>
        <v>100</v>
      </c>
      <c r="V40" s="666" t="s">
        <v>14</v>
      </c>
      <c r="W40" s="667">
        <f t="shared" si="14"/>
        <v>100</v>
      </c>
      <c r="X40" s="1264"/>
      <c r="Y40" s="340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5"/>
      <c r="Q41" s="531"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5"/>
      <c r="Q42" s="1262" t="str">
        <f t="shared" si="11"/>
        <v>内部装修</v>
      </c>
      <c r="R42" s="666" t="s">
        <v>14</v>
      </c>
      <c r="S42" s="667">
        <f t="shared" si="12"/>
        <v>100</v>
      </c>
      <c r="T42" s="666" t="s">
        <v>14</v>
      </c>
      <c r="U42" s="667">
        <f t="shared" si="13"/>
        <v>100</v>
      </c>
      <c r="V42" s="666" t="s">
        <v>14</v>
      </c>
      <c r="W42" s="667">
        <f t="shared" si="14"/>
        <v>100</v>
      </c>
      <c r="X42" s="1264"/>
      <c r="Y42" s="3407"/>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5"/>
      <c r="Q43" s="1262" t="str">
        <f t="shared" si="11"/>
        <v>内部装修维护情况</v>
      </c>
      <c r="R43" s="666" t="s">
        <v>14</v>
      </c>
      <c r="S43" s="667">
        <f t="shared" si="12"/>
        <v>100</v>
      </c>
      <c r="T43" s="666" t="s">
        <v>14</v>
      </c>
      <c r="U43" s="667">
        <f t="shared" si="13"/>
        <v>100</v>
      </c>
      <c r="V43" s="666" t="s">
        <v>14</v>
      </c>
      <c r="W43" s="667">
        <f t="shared" si="14"/>
        <v>100</v>
      </c>
      <c r="X43" s="1264"/>
      <c r="Y43" s="340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5"/>
      <c r="Q44" s="530">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5"/>
      <c r="Q45" s="1262">
        <f t="shared" si="11"/>
        <v>111</v>
      </c>
      <c r="R45" s="666" t="s">
        <v>14</v>
      </c>
      <c r="S45" s="667">
        <f t="shared" si="12"/>
        <v>100</v>
      </c>
      <c r="T45" s="666" t="s">
        <v>14</v>
      </c>
      <c r="U45" s="667">
        <f t="shared" si="13"/>
        <v>100</v>
      </c>
      <c r="V45" s="666" t="s">
        <v>14</v>
      </c>
      <c r="W45" s="667">
        <f t="shared" si="14"/>
        <v>100</v>
      </c>
      <c r="X45" s="1264"/>
      <c r="Y45" s="340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6"/>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401" t="str">
        <f>A47</f>
        <v>成交单价（元/平方米）</v>
      </c>
      <c r="Q47" s="3401"/>
      <c r="R47" s="3396">
        <f>E47</f>
        <v>0</v>
      </c>
      <c r="S47" s="3396"/>
      <c r="T47" s="3396">
        <f>G47</f>
        <v>0</v>
      </c>
      <c r="U47" s="3396"/>
      <c r="V47" s="3396">
        <f>I47</f>
        <v>0</v>
      </c>
      <c r="W47" s="3396"/>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24" zoomScale="85" zoomScaleNormal="70" zoomScaleSheetLayoutView="85" workbookViewId="0">
      <selection activeCell="E63" sqref="E6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301</v>
      </c>
      <c r="E1" s="3131" t="s">
        <v>3388</v>
      </c>
      <c r="F1" s="1734" t="s">
        <v>3387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704.21960000000001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20846</v>
      </c>
      <c r="C3" s="344" t="s">
        <v>1768</v>
      </c>
      <c r="D3" s="343">
        <f>IF(D1="",'数据-汇总表'!E3,SUMIF('数据-汇总表'!$C19:$C33,D1,'数据-汇总表'!$E19:$E33))</f>
        <v>337.82</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419" t="s">
        <v>1775</v>
      </c>
      <c r="Q4" s="3420"/>
      <c r="R4" s="3412" t="s">
        <v>1771</v>
      </c>
      <c r="S4" s="3413"/>
      <c r="T4" s="3412" t="s">
        <v>1772</v>
      </c>
      <c r="U4" s="3413"/>
      <c r="V4" s="3423" t="s">
        <v>1773</v>
      </c>
      <c r="W4" s="3423"/>
      <c r="X4" s="1808"/>
      <c r="Y4" s="3412" t="s">
        <v>1775</v>
      </c>
      <c r="Z4" s="3413"/>
      <c r="AA4" s="3411" t="s">
        <v>1771</v>
      </c>
      <c r="AB4" s="3411" t="s">
        <v>1772</v>
      </c>
      <c r="AC4" s="3416" t="s">
        <v>1773</v>
      </c>
    </row>
    <row r="5" spans="1:29" ht="15">
      <c r="A5" s="348"/>
      <c r="B5" s="349"/>
      <c r="C5" s="3415" t="s">
        <v>3397</v>
      </c>
      <c r="D5" s="3378"/>
      <c r="E5" s="3414" t="s">
        <v>3406</v>
      </c>
      <c r="F5" s="3376"/>
      <c r="G5" s="3415" t="s">
        <v>3420</v>
      </c>
      <c r="H5" s="3378"/>
      <c r="I5" s="3494" t="s">
        <v>3426</v>
      </c>
      <c r="J5" s="3493"/>
      <c r="K5" s="537"/>
      <c r="L5" s="2486"/>
      <c r="M5" s="2487"/>
      <c r="N5" s="2487"/>
      <c r="O5" s="2487"/>
      <c r="P5" s="3421"/>
      <c r="Q5" s="3391"/>
      <c r="R5" s="3373"/>
      <c r="S5" s="3374"/>
      <c r="T5" s="3373"/>
      <c r="U5" s="3374"/>
      <c r="V5" s="3396"/>
      <c r="W5" s="3396"/>
      <c r="X5" s="1264"/>
      <c r="Y5" s="3373"/>
      <c r="Z5" s="3374"/>
      <c r="AA5" s="3367"/>
      <c r="AB5" s="3367"/>
      <c r="AC5" s="341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422"/>
      <c r="Q6" s="3393"/>
      <c r="R6" s="3373"/>
      <c r="S6" s="3374"/>
      <c r="T6" s="3394"/>
      <c r="U6" s="3395"/>
      <c r="V6" s="3396"/>
      <c r="W6" s="3396"/>
      <c r="X6" s="1264"/>
      <c r="Y6" s="3394"/>
      <c r="Z6" s="3395"/>
      <c r="AA6" s="3368"/>
      <c r="AB6" s="3368"/>
      <c r="AC6" s="3418"/>
    </row>
    <row r="7" spans="1:29" s="102" customFormat="1" ht="15.75" thickBot="1">
      <c r="A7" s="352" t="s">
        <v>1679</v>
      </c>
      <c r="B7" s="353"/>
      <c r="C7" s="354">
        <f>'数据-取费表'!B2</f>
        <v>45580</v>
      </c>
      <c r="D7" s="355">
        <v>100</v>
      </c>
      <c r="E7" s="356">
        <f>C7</f>
        <v>45580</v>
      </c>
      <c r="F7" s="357">
        <f>SUMIF(59:59,YEAR(E7)&amp;"-"&amp;MONTH(E7),60:60)</f>
        <v>100</v>
      </c>
      <c r="G7" s="356">
        <f>E7</f>
        <v>45580</v>
      </c>
      <c r="H7" s="355">
        <f>SUMIF(59:59,YEAR(G7)&amp;"-"&amp;MONTH(G7),60:60)</f>
        <v>100</v>
      </c>
      <c r="I7" s="356">
        <f>G7</f>
        <v>45580</v>
      </c>
      <c r="J7" s="355">
        <f>SUMIF(59:59,YEAR(I7)&amp;"-"&amp;MONTH(I7),60:60)</f>
        <v>100</v>
      </c>
      <c r="K7" s="38"/>
      <c r="L7" s="2488"/>
      <c r="M7" s="2439"/>
      <c r="N7" s="2439"/>
      <c r="O7" s="2439"/>
      <c r="P7" s="3424" t="s">
        <v>1680</v>
      </c>
      <c r="Q7" s="3397"/>
      <c r="R7" s="663" t="s">
        <v>14</v>
      </c>
      <c r="S7" s="664">
        <f t="shared" ref="S7:S15" si="0">F7</f>
        <v>100</v>
      </c>
      <c r="T7" s="663" t="s">
        <v>14</v>
      </c>
      <c r="U7" s="664">
        <f t="shared" ref="U7:U15" si="1">H7</f>
        <v>100</v>
      </c>
      <c r="V7" s="663" t="s">
        <v>14</v>
      </c>
      <c r="W7" s="664">
        <f t="shared" ref="W7:W15" si="2">J7</f>
        <v>100</v>
      </c>
      <c r="X7" s="665"/>
      <c r="Y7" s="3369" t="s">
        <v>1680</v>
      </c>
      <c r="Z7" s="3370"/>
      <c r="AA7" s="50">
        <f>D7/F7</f>
        <v>1</v>
      </c>
      <c r="AB7" s="50">
        <f>D7/H7</f>
        <v>1</v>
      </c>
      <c r="AC7" s="801">
        <f>D7/J7</f>
        <v>1</v>
      </c>
    </row>
    <row r="8" spans="1:29" s="102" customFormat="1" ht="15.75" thickBot="1">
      <c r="A8" s="352" t="s">
        <v>1681</v>
      </c>
      <c r="B8" s="353"/>
      <c r="C8" s="358" t="s">
        <v>3398</v>
      </c>
      <c r="D8" s="355">
        <v>100</v>
      </c>
      <c r="E8" s="358" t="s">
        <v>3400</v>
      </c>
      <c r="F8" s="357">
        <f>SUMIF(62:62,E8,63:63)-SUMIF(62:62,C8,63:63)+100</f>
        <v>102</v>
      </c>
      <c r="G8" s="358" t="s">
        <v>3400</v>
      </c>
      <c r="H8" s="355">
        <f>SUMIF(62:62,G8,63:63)-SUMIF(62:62,C8,63:63)+100</f>
        <v>102</v>
      </c>
      <c r="I8" s="358" t="s">
        <v>3400</v>
      </c>
      <c r="J8" s="355">
        <f>SUMIF(62:62,I8,63:63)-SUMIF(62:62,C8,63:63)+100</f>
        <v>102</v>
      </c>
      <c r="K8" s="38"/>
      <c r="L8" s="2488"/>
      <c r="M8" s="2439"/>
      <c r="N8" s="2439"/>
      <c r="O8" s="2439"/>
      <c r="P8" s="3424" t="s">
        <v>1683</v>
      </c>
      <c r="Q8" s="3370"/>
      <c r="R8" s="663" t="s">
        <v>14</v>
      </c>
      <c r="S8" s="664">
        <f t="shared" si="0"/>
        <v>102</v>
      </c>
      <c r="T8" s="663" t="s">
        <v>14</v>
      </c>
      <c r="U8" s="664">
        <f t="shared" si="1"/>
        <v>102</v>
      </c>
      <c r="V8" s="663" t="s">
        <v>14</v>
      </c>
      <c r="W8" s="664">
        <f t="shared" si="2"/>
        <v>102</v>
      </c>
      <c r="X8" s="665"/>
      <c r="Y8" s="3369" t="s">
        <v>1683</v>
      </c>
      <c r="Z8" s="3370"/>
      <c r="AA8" s="50">
        <f t="shared" ref="AA8:AA47" si="3">D8/F8</f>
        <v>0.98039215686274506</v>
      </c>
      <c r="AB8" s="50">
        <f t="shared" ref="AB8:AB47" si="4">D8/H8</f>
        <v>0.98039215686274506</v>
      </c>
      <c r="AC8" s="801">
        <f t="shared" ref="AC8:AC47" si="5">D8/J8</f>
        <v>0.98039215686274506</v>
      </c>
    </row>
    <row r="9" spans="1:29" s="102" customFormat="1" ht="15">
      <c r="A9" s="359" t="s">
        <v>1684</v>
      </c>
      <c r="B9" s="60" t="s">
        <v>1685</v>
      </c>
      <c r="C9" s="3144" t="s">
        <v>3407</v>
      </c>
      <c r="D9" s="59">
        <v>100</v>
      </c>
      <c r="E9" s="362" t="s">
        <v>3401</v>
      </c>
      <c r="F9" s="59">
        <f>SUMIF(64:64,E9,65:65)-SUMIF(64:64,C9,65:65)+100</f>
        <v>95</v>
      </c>
      <c r="G9" s="361" t="s">
        <v>3401</v>
      </c>
      <c r="H9" s="59">
        <f>SUMIF(64:64,G9,65:65)-SUMIF(64:64,C9,65:65)+100</f>
        <v>95</v>
      </c>
      <c r="I9" s="3153" t="s">
        <v>3401</v>
      </c>
      <c r="J9" s="59">
        <f>SUMIF(64:64,I9,65:65)-SUMIF(64:64,C9,65:65)+100</f>
        <v>95</v>
      </c>
      <c r="K9" s="38"/>
      <c r="L9" s="2488"/>
      <c r="M9" s="2439"/>
      <c r="N9" s="2439"/>
      <c r="O9" s="2439"/>
      <c r="P9" s="3383" t="s">
        <v>1686</v>
      </c>
      <c r="Q9" s="530" t="str">
        <f t="shared" ref="Q9:Q15" si="6">B9</f>
        <v>用途</v>
      </c>
      <c r="R9" s="663" t="s">
        <v>14</v>
      </c>
      <c r="S9" s="664">
        <f t="shared" si="0"/>
        <v>95</v>
      </c>
      <c r="T9" s="663" t="s">
        <v>14</v>
      </c>
      <c r="U9" s="664">
        <f t="shared" si="1"/>
        <v>95</v>
      </c>
      <c r="V9" s="663" t="s">
        <v>14</v>
      </c>
      <c r="W9" s="664">
        <f t="shared" si="2"/>
        <v>95</v>
      </c>
      <c r="X9" s="665"/>
      <c r="Y9" s="3313" t="s">
        <v>1687</v>
      </c>
      <c r="Z9" s="50" t="str">
        <f t="shared" ref="Z9:Z15" si="7">Q9</f>
        <v>用途</v>
      </c>
      <c r="AA9" s="50">
        <f t="shared" si="3"/>
        <v>1.0526315789473684</v>
      </c>
      <c r="AB9" s="50">
        <f t="shared" si="4"/>
        <v>1.0526315789473684</v>
      </c>
      <c r="AC9" s="801">
        <f t="shared" si="5"/>
        <v>1.0526315789473684</v>
      </c>
    </row>
    <row r="10" spans="1:29" s="366" customFormat="1" ht="27.75" thickBot="1">
      <c r="A10" s="363"/>
      <c r="B10" s="364" t="s">
        <v>1688</v>
      </c>
      <c r="C10" s="3132" t="s">
        <v>3419</v>
      </c>
      <c r="D10" s="119">
        <v>100</v>
      </c>
      <c r="E10" s="3132" t="s">
        <v>3402</v>
      </c>
      <c r="F10" s="119">
        <f>SUMIF(66:66,E10,67:67)-SUMIF(66:66,C10,67:67)+100</f>
        <v>104</v>
      </c>
      <c r="G10" s="3133" t="s">
        <v>3411</v>
      </c>
      <c r="H10" s="119">
        <f>SUMIF(66:66,G10,67:67)-SUMIF(66:66,C10,67:67)+100</f>
        <v>102</v>
      </c>
      <c r="I10" s="3132" t="s">
        <v>3402</v>
      </c>
      <c r="J10" s="119">
        <f>SUMIF(66:66,I10,67:67)-SUMIF(66:66,C10,67:67)+100</f>
        <v>104</v>
      </c>
      <c r="K10" s="38"/>
      <c r="L10" s="2489"/>
      <c r="M10" s="2490"/>
      <c r="N10" s="2490"/>
      <c r="O10" s="2490"/>
      <c r="P10" s="3383"/>
      <c r="Q10" s="530" t="str">
        <f t="shared" si="6"/>
        <v>土地使用年限（年）</v>
      </c>
      <c r="R10" s="663" t="s">
        <v>14</v>
      </c>
      <c r="S10" s="664">
        <f t="shared" si="0"/>
        <v>104</v>
      </c>
      <c r="T10" s="663" t="s">
        <v>14</v>
      </c>
      <c r="U10" s="664">
        <f t="shared" si="1"/>
        <v>102</v>
      </c>
      <c r="V10" s="663" t="s">
        <v>14</v>
      </c>
      <c r="W10" s="664">
        <f t="shared" si="2"/>
        <v>104</v>
      </c>
      <c r="X10" s="665"/>
      <c r="Y10" s="3313"/>
      <c r="Z10" s="50" t="str">
        <f t="shared" si="7"/>
        <v>土地使用年限（年）</v>
      </c>
      <c r="AA10" s="50">
        <f t="shared" si="3"/>
        <v>0.96153846153846156</v>
      </c>
      <c r="AB10" s="50">
        <f t="shared" si="4"/>
        <v>0.98039215686274506</v>
      </c>
      <c r="AC10" s="801">
        <f t="shared" si="5"/>
        <v>0.96153846153846156</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801">
        <f t="shared" si="5"/>
        <v>1</v>
      </c>
    </row>
    <row r="12" spans="1:29" s="102" customFormat="1" ht="15" hidden="1">
      <c r="A12" s="370"/>
      <c r="B12" s="447"/>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3"/>
      <c r="Q12" s="530">
        <f t="shared" si="6"/>
        <v>0</v>
      </c>
      <c r="R12" s="663" t="s">
        <v>14</v>
      </c>
      <c r="S12" s="664">
        <f t="shared" si="0"/>
        <v>100</v>
      </c>
      <c r="T12" s="663" t="s">
        <v>14</v>
      </c>
      <c r="U12" s="664">
        <f t="shared" si="1"/>
        <v>100</v>
      </c>
      <c r="V12" s="663" t="s">
        <v>14</v>
      </c>
      <c r="W12" s="664">
        <f t="shared" si="2"/>
        <v>100</v>
      </c>
      <c r="X12" s="665"/>
      <c r="Y12" s="3313"/>
      <c r="Z12" s="50">
        <f t="shared" si="7"/>
        <v>0</v>
      </c>
      <c r="AA12" s="50">
        <f>D12/F12</f>
        <v>1</v>
      </c>
      <c r="AB12" s="50">
        <f>D12/H12</f>
        <v>1</v>
      </c>
      <c r="AC12" s="801">
        <f>D12/J12</f>
        <v>1</v>
      </c>
    </row>
    <row r="13" spans="1:29" ht="15" hidden="1">
      <c r="A13" s="367"/>
      <c r="B13" s="447"/>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3"/>
      <c r="Q13" s="530">
        <f t="shared" si="6"/>
        <v>0</v>
      </c>
      <c r="R13" s="663" t="s">
        <v>14</v>
      </c>
      <c r="S13" s="664">
        <f t="shared" si="0"/>
        <v>100</v>
      </c>
      <c r="T13" s="663" t="s">
        <v>14</v>
      </c>
      <c r="U13" s="664">
        <f t="shared" si="1"/>
        <v>100</v>
      </c>
      <c r="V13" s="663" t="s">
        <v>14</v>
      </c>
      <c r="W13" s="664">
        <f t="shared" si="2"/>
        <v>100</v>
      </c>
      <c r="X13" s="665"/>
      <c r="Y13" s="3313"/>
      <c r="Z13" s="50">
        <f t="shared" si="7"/>
        <v>0</v>
      </c>
      <c r="AA13" s="50">
        <f t="shared" si="3"/>
        <v>1</v>
      </c>
      <c r="AB13" s="50">
        <f t="shared" si="4"/>
        <v>1</v>
      </c>
      <c r="AC13" s="801">
        <f t="shared" si="5"/>
        <v>1</v>
      </c>
    </row>
    <row r="14" spans="1:29" ht="15.75" hidden="1" thickBot="1">
      <c r="A14" s="375"/>
      <c r="B14" s="1748"/>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3"/>
      <c r="Q14" s="530">
        <f t="shared" si="6"/>
        <v>0</v>
      </c>
      <c r="R14" s="663" t="s">
        <v>14</v>
      </c>
      <c r="S14" s="664">
        <f t="shared" si="0"/>
        <v>100</v>
      </c>
      <c r="T14" s="663" t="s">
        <v>14</v>
      </c>
      <c r="U14" s="664">
        <f t="shared" si="1"/>
        <v>100</v>
      </c>
      <c r="V14" s="663" t="s">
        <v>14</v>
      </c>
      <c r="W14" s="664">
        <f t="shared" si="2"/>
        <v>100</v>
      </c>
      <c r="X14" s="665"/>
      <c r="Y14" s="3313"/>
      <c r="Z14" s="50">
        <f t="shared" si="7"/>
        <v>0</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9" t="s">
        <v>1691</v>
      </c>
      <c r="Q15" s="1262" t="str">
        <f t="shared" si="6"/>
        <v>办公集聚程度</v>
      </c>
      <c r="R15" s="666" t="s">
        <v>14</v>
      </c>
      <c r="S15" s="667">
        <f t="shared" si="0"/>
        <v>100</v>
      </c>
      <c r="T15" s="666" t="s">
        <v>14</v>
      </c>
      <c r="U15" s="667">
        <f t="shared" si="1"/>
        <v>100</v>
      </c>
      <c r="V15" s="666" t="s">
        <v>14</v>
      </c>
      <c r="W15" s="667">
        <f t="shared" si="2"/>
        <v>100</v>
      </c>
      <c r="X15" s="1264"/>
      <c r="Y15" s="3402" t="s">
        <v>1691</v>
      </c>
      <c r="Z15" s="1263" t="str">
        <f t="shared" si="7"/>
        <v>办公集聚程度</v>
      </c>
      <c r="AA15" s="1263">
        <f t="shared" si="3"/>
        <v>1</v>
      </c>
      <c r="AB15" s="1263">
        <f t="shared" si="4"/>
        <v>1</v>
      </c>
      <c r="AC15" s="1811">
        <f t="shared" si="5"/>
        <v>1</v>
      </c>
    </row>
    <row r="16" spans="1:29" ht="15">
      <c r="A16" s="367"/>
      <c r="B16" s="555"/>
      <c r="C16" s="1757" t="s">
        <v>3399</v>
      </c>
      <c r="D16" s="387"/>
      <c r="E16" s="386" t="s">
        <v>3399</v>
      </c>
      <c r="F16" s="387"/>
      <c r="G16" s="1757" t="s">
        <v>3399</v>
      </c>
      <c r="H16" s="389"/>
      <c r="I16" s="386" t="s">
        <v>3399</v>
      </c>
      <c r="J16" s="387"/>
      <c r="K16" s="541"/>
      <c r="L16" s="2492"/>
      <c r="M16" s="2487"/>
      <c r="N16" s="2487"/>
      <c r="O16" s="2487"/>
      <c r="P16" s="3410"/>
      <c r="Q16" s="1262"/>
      <c r="R16" s="666"/>
      <c r="S16" s="667"/>
      <c r="T16" s="666"/>
      <c r="U16" s="667"/>
      <c r="V16" s="666"/>
      <c r="W16" s="667"/>
      <c r="X16" s="1264"/>
      <c r="Y16" s="3403"/>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811">
        <f t="shared" si="5"/>
        <v>1</v>
      </c>
    </row>
    <row r="18" spans="1:29" ht="15">
      <c r="A18" s="367"/>
      <c r="B18" s="401"/>
      <c r="C18" s="1813" t="s">
        <v>3399</v>
      </c>
      <c r="D18" s="389"/>
      <c r="E18" s="1755" t="s">
        <v>3399</v>
      </c>
      <c r="F18" s="389"/>
      <c r="G18" s="1756" t="s">
        <v>3399</v>
      </c>
      <c r="H18" s="387"/>
      <c r="I18" s="1756" t="s">
        <v>3399</v>
      </c>
      <c r="J18" s="387"/>
      <c r="K18" s="541"/>
      <c r="L18" s="2492"/>
      <c r="M18" s="2487"/>
      <c r="N18" s="2487"/>
      <c r="O18" s="2487"/>
      <c r="P18" s="3410"/>
      <c r="Q18" s="1262"/>
      <c r="R18" s="666"/>
      <c r="S18" s="667"/>
      <c r="T18" s="666"/>
      <c r="U18" s="667"/>
      <c r="V18" s="666"/>
      <c r="W18" s="667"/>
      <c r="X18" s="1264"/>
      <c r="Y18" s="3403"/>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811">
        <f t="shared" si="5"/>
        <v>1</v>
      </c>
    </row>
    <row r="20" spans="1:29" ht="15">
      <c r="A20" s="367"/>
      <c r="B20" s="401"/>
      <c r="C20" s="1757" t="s">
        <v>3399</v>
      </c>
      <c r="D20" s="387"/>
      <c r="E20" s="1750" t="s">
        <v>3399</v>
      </c>
      <c r="F20" s="387"/>
      <c r="G20" s="1751" t="s">
        <v>3399</v>
      </c>
      <c r="H20" s="387"/>
      <c r="I20" s="1751" t="s">
        <v>3399</v>
      </c>
      <c r="J20" s="387"/>
      <c r="K20" s="541"/>
      <c r="L20" s="2492"/>
      <c r="M20" s="2487"/>
      <c r="N20" s="2487"/>
      <c r="O20" s="2487"/>
      <c r="P20" s="3410"/>
      <c r="Q20" s="1262"/>
      <c r="R20" s="666"/>
      <c r="S20" s="667"/>
      <c r="T20" s="666"/>
      <c r="U20" s="667"/>
      <c r="V20" s="666"/>
      <c r="W20" s="667"/>
      <c r="X20" s="1264"/>
      <c r="Y20" s="3403"/>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811">
        <f t="shared" ref="AC21" si="10">D21/J21</f>
        <v>1</v>
      </c>
    </row>
    <row r="22" spans="1:29" ht="15">
      <c r="A22" s="367"/>
      <c r="B22" s="557"/>
      <c r="C22" s="1813" t="s">
        <v>3410</v>
      </c>
      <c r="D22" s="387"/>
      <c r="E22" s="1813" t="s">
        <v>3410</v>
      </c>
      <c r="F22" s="387"/>
      <c r="G22" s="1813" t="s">
        <v>3410</v>
      </c>
      <c r="H22" s="387"/>
      <c r="I22" s="1813" t="s">
        <v>3410</v>
      </c>
      <c r="J22" s="387"/>
      <c r="K22" s="1063"/>
      <c r="L22" s="2492"/>
      <c r="M22" s="2487"/>
      <c r="N22" s="2487"/>
      <c r="O22" s="2487"/>
      <c r="P22" s="3410"/>
      <c r="Q22" s="1262"/>
      <c r="R22" s="666"/>
      <c r="S22" s="667"/>
      <c r="T22" s="666"/>
      <c r="U22" s="667"/>
      <c r="V22" s="666"/>
      <c r="W22" s="667"/>
      <c r="X22" s="1264"/>
      <c r="Y22" s="3403"/>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2"/>
      <c r="M23" s="2487"/>
      <c r="N23" s="2487"/>
      <c r="O23" s="2487"/>
      <c r="P23" s="3410"/>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811">
        <f t="shared" si="5"/>
        <v>1</v>
      </c>
    </row>
    <row r="24" spans="1:29" ht="15.75" thickBot="1">
      <c r="A24" s="367"/>
      <c r="B24" s="557"/>
      <c r="C24" s="1757" t="s">
        <v>3399</v>
      </c>
      <c r="D24" s="387"/>
      <c r="E24" s="1750" t="s">
        <v>3399</v>
      </c>
      <c r="F24" s="387"/>
      <c r="G24" s="1751" t="s">
        <v>3399</v>
      </c>
      <c r="H24" s="387"/>
      <c r="I24" s="1751" t="s">
        <v>3399</v>
      </c>
      <c r="J24" s="387"/>
      <c r="K24" s="541"/>
      <c r="L24" s="2492"/>
      <c r="M24" s="2487"/>
      <c r="N24" s="2487"/>
      <c r="O24" s="2487"/>
      <c r="P24" s="3410"/>
      <c r="Q24" s="1262"/>
      <c r="R24" s="666"/>
      <c r="S24" s="667"/>
      <c r="T24" s="666"/>
      <c r="U24" s="667"/>
      <c r="V24" s="666"/>
      <c r="W24" s="667"/>
      <c r="X24" s="1264"/>
      <c r="Y24" s="3403"/>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0"/>
      <c r="Q25" s="1262" t="str">
        <f>B25</f>
        <v>毗邻道路的类型与等级</v>
      </c>
      <c r="R25" s="666" t="s">
        <v>14</v>
      </c>
      <c r="S25" s="667">
        <f>F25</f>
        <v>100</v>
      </c>
      <c r="T25" s="666" t="s">
        <v>14</v>
      </c>
      <c r="U25" s="667">
        <f>H25</f>
        <v>100</v>
      </c>
      <c r="V25" s="666" t="s">
        <v>14</v>
      </c>
      <c r="W25" s="667">
        <f>J25</f>
        <v>100</v>
      </c>
      <c r="X25" s="1264"/>
      <c r="Y25" s="3403"/>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410"/>
      <c r="Q26" s="1262"/>
      <c r="R26" s="666"/>
      <c r="S26" s="667"/>
      <c r="T26" s="666"/>
      <c r="U26" s="667"/>
      <c r="V26" s="666"/>
      <c r="W26" s="667"/>
      <c r="X26" s="1264"/>
      <c r="Y26" s="3403"/>
      <c r="Z26" s="1263"/>
      <c r="AA26" s="1263">
        <v>1</v>
      </c>
      <c r="AB26" s="1263">
        <v>1</v>
      </c>
      <c r="AC26" s="1811">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0"/>
      <c r="Q27" s="1262" t="str">
        <f t="shared" ref="Q27:Q47" si="11">B27</f>
        <v>楼层</v>
      </c>
      <c r="R27" s="666" t="s">
        <v>14</v>
      </c>
      <c r="S27" s="667">
        <f>F27</f>
        <v>100</v>
      </c>
      <c r="T27" s="666" t="s">
        <v>14</v>
      </c>
      <c r="U27" s="667">
        <f>H27</f>
        <v>100</v>
      </c>
      <c r="V27" s="666" t="s">
        <v>14</v>
      </c>
      <c r="W27" s="667">
        <f>J27</f>
        <v>100</v>
      </c>
      <c r="X27" s="1264"/>
      <c r="Y27" s="3403"/>
      <c r="Z27" s="1263" t="str">
        <f>Q27</f>
        <v>楼层</v>
      </c>
      <c r="AA27" s="1263">
        <f t="shared" si="3"/>
        <v>1</v>
      </c>
      <c r="AB27" s="1263">
        <f t="shared" si="4"/>
        <v>1</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0"/>
      <c r="Q28" s="530" t="str">
        <f t="shared" si="11"/>
        <v>朝向</v>
      </c>
      <c r="R28" s="663" t="s">
        <v>14</v>
      </c>
      <c r="S28" s="664">
        <f>F28</f>
        <v>100</v>
      </c>
      <c r="T28" s="663" t="s">
        <v>14</v>
      </c>
      <c r="U28" s="664">
        <f>H28</f>
        <v>100</v>
      </c>
      <c r="V28" s="663" t="s">
        <v>14</v>
      </c>
      <c r="W28" s="664">
        <f>J28</f>
        <v>100</v>
      </c>
      <c r="X28" s="665"/>
      <c r="Y28" s="3403"/>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403"/>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0"/>
      <c r="Q32" s="1262">
        <f t="shared" si="11"/>
        <v>111</v>
      </c>
      <c r="R32" s="666" t="s">
        <v>14</v>
      </c>
      <c r="S32" s="667">
        <f t="shared" si="12"/>
        <v>100</v>
      </c>
      <c r="T32" s="666" t="s">
        <v>14</v>
      </c>
      <c r="U32" s="667">
        <f t="shared" si="13"/>
        <v>100</v>
      </c>
      <c r="V32" s="666" t="s">
        <v>14</v>
      </c>
      <c r="W32" s="667">
        <f t="shared" si="14"/>
        <v>100</v>
      </c>
      <c r="X32" s="1264"/>
      <c r="Y32" s="3403"/>
      <c r="Z32" s="1263">
        <f t="shared" si="15"/>
        <v>111</v>
      </c>
      <c r="AA32" s="1263">
        <f t="shared" si="3"/>
        <v>1</v>
      </c>
      <c r="AB32" s="1263">
        <f t="shared" si="4"/>
        <v>1</v>
      </c>
      <c r="AC32" s="1811">
        <f t="shared" si="5"/>
        <v>1</v>
      </c>
    </row>
    <row r="33" spans="1:29" ht="15">
      <c r="A33" s="379" t="s">
        <v>1694</v>
      </c>
      <c r="B33" s="60" t="s">
        <v>1817</v>
      </c>
      <c r="C33" s="1763" t="s">
        <v>3403</v>
      </c>
      <c r="D33" s="405">
        <v>100</v>
      </c>
      <c r="E33" s="1763" t="s">
        <v>3403</v>
      </c>
      <c r="F33" s="400">
        <f>SUMIF(101:101,E33,102:102)-SUMIF(101:101,C33,102:102)+100</f>
        <v>100</v>
      </c>
      <c r="G33" s="1763" t="s">
        <v>3403</v>
      </c>
      <c r="H33" s="374">
        <f>SUMIF(101:101,G33,102:102)-SUMIF(101:101,C33,102:102)+100</f>
        <v>100</v>
      </c>
      <c r="I33" s="1763" t="s">
        <v>3403</v>
      </c>
      <c r="J33" s="405">
        <f>SUMIF(101:101,I33,102:102)-SUMIF(101:101,C33,102:102)+100</f>
        <v>100</v>
      </c>
      <c r="K33" s="538">
        <v>5</v>
      </c>
      <c r="L33" s="2492"/>
      <c r="M33" s="2487"/>
      <c r="N33" s="2487"/>
      <c r="O33" s="2487"/>
      <c r="P33" s="3404" t="s">
        <v>1696</v>
      </c>
      <c r="Q33" s="1262" t="str">
        <f t="shared" si="11"/>
        <v>建筑类型</v>
      </c>
      <c r="R33" s="666" t="s">
        <v>14</v>
      </c>
      <c r="S33" s="667">
        <f t="shared" si="12"/>
        <v>100</v>
      </c>
      <c r="T33" s="666" t="s">
        <v>14</v>
      </c>
      <c r="U33" s="667">
        <f t="shared" si="13"/>
        <v>100</v>
      </c>
      <c r="V33" s="666" t="s">
        <v>14</v>
      </c>
      <c r="W33" s="667">
        <f t="shared" si="14"/>
        <v>100</v>
      </c>
      <c r="X33" s="1264"/>
      <c r="Y33" s="3407" t="s">
        <v>1696</v>
      </c>
      <c r="Z33" s="1263" t="str">
        <f t="shared" si="15"/>
        <v>建筑类型</v>
      </c>
      <c r="AA33" s="1263">
        <f t="shared" si="3"/>
        <v>1</v>
      </c>
      <c r="AB33" s="1263">
        <f t="shared" si="4"/>
        <v>1</v>
      </c>
      <c r="AC33" s="1811">
        <f t="shared" si="5"/>
        <v>1</v>
      </c>
    </row>
    <row r="34" spans="1:29" s="408" customFormat="1" ht="15">
      <c r="A34" s="406"/>
      <c r="B34" s="364" t="s">
        <v>1697</v>
      </c>
      <c r="C34" s="369">
        <f>'数据-汇总表'!F19</f>
        <v>337.82</v>
      </c>
      <c r="D34" s="119">
        <v>100</v>
      </c>
      <c r="E34" s="369">
        <v>1145</v>
      </c>
      <c r="F34" s="364">
        <f>LOOKUP(E34,104:104,105:105)-LOOKUP(C34,104:104,105:105)+100</f>
        <v>98</v>
      </c>
      <c r="G34" s="368">
        <v>1900</v>
      </c>
      <c r="H34" s="119">
        <f>LOOKUP(G34,104:104,105:105)-LOOKUP(C34,104:104,105:105)+100</f>
        <v>97</v>
      </c>
      <c r="I34" s="368">
        <v>3200</v>
      </c>
      <c r="J34" s="119">
        <f>LOOKUP(I34,104:104,105:105)-LOOKUP(C34,104:104,105:105)+100</f>
        <v>94</v>
      </c>
      <c r="K34" s="539"/>
      <c r="L34" s="2491"/>
      <c r="M34" s="2493"/>
      <c r="N34" s="2493"/>
      <c r="O34" s="2493"/>
      <c r="P34" s="3405"/>
      <c r="Q34" s="531" t="str">
        <f t="shared" si="11"/>
        <v>项目建筑规模</v>
      </c>
      <c r="R34" s="668" t="s">
        <v>14</v>
      </c>
      <c r="S34" s="669">
        <f t="shared" si="12"/>
        <v>98</v>
      </c>
      <c r="T34" s="668" t="s">
        <v>14</v>
      </c>
      <c r="U34" s="669">
        <f t="shared" si="13"/>
        <v>97</v>
      </c>
      <c r="V34" s="668" t="s">
        <v>14</v>
      </c>
      <c r="W34" s="669">
        <f t="shared" si="14"/>
        <v>94</v>
      </c>
      <c r="X34" s="670"/>
      <c r="Y34" s="3407"/>
      <c r="Z34" s="671" t="str">
        <f t="shared" si="15"/>
        <v>项目建筑规模</v>
      </c>
      <c r="AA34" s="1263">
        <f t="shared" si="3"/>
        <v>1.0204081632653061</v>
      </c>
      <c r="AB34" s="1263">
        <f t="shared" si="4"/>
        <v>1.0309278350515463</v>
      </c>
      <c r="AC34" s="1811">
        <f t="shared" si="5"/>
        <v>1.0638297872340425</v>
      </c>
    </row>
    <row r="35" spans="1:29" ht="15">
      <c r="A35" s="409"/>
      <c r="B35" s="364" t="s">
        <v>1698</v>
      </c>
      <c r="C35" s="3154" t="s">
        <v>3421</v>
      </c>
      <c r="D35" s="374">
        <v>100</v>
      </c>
      <c r="E35" s="3154" t="s">
        <v>3421</v>
      </c>
      <c r="F35" s="400">
        <f>SUMIF(106:106,E35,107:107)-SUMIF(106:106,C35,107:107)+100</f>
        <v>100</v>
      </c>
      <c r="G35" s="3154" t="s">
        <v>3421</v>
      </c>
      <c r="H35" s="374">
        <f>SUMIF(106:106,G35,107:107)-SUMIF(106:106,C35,107:107)+100</f>
        <v>100</v>
      </c>
      <c r="I35" s="3154" t="s">
        <v>3421</v>
      </c>
      <c r="J35" s="374">
        <f>SUMIF(106:106,I35,107:107)-SUMIF(106:106,C35,107:107)+100</f>
        <v>100</v>
      </c>
      <c r="K35" s="538">
        <v>3</v>
      </c>
      <c r="L35" s="2492"/>
      <c r="M35" s="2487"/>
      <c r="N35" s="2487"/>
      <c r="O35" s="2487"/>
      <c r="P35" s="3405"/>
      <c r="Q35" s="1262" t="str">
        <f t="shared" si="11"/>
        <v>建筑结构</v>
      </c>
      <c r="R35" s="666" t="s">
        <v>14</v>
      </c>
      <c r="S35" s="667">
        <f t="shared" si="12"/>
        <v>100</v>
      </c>
      <c r="T35" s="666" t="s">
        <v>14</v>
      </c>
      <c r="U35" s="667">
        <f t="shared" si="13"/>
        <v>100</v>
      </c>
      <c r="V35" s="666" t="s">
        <v>14</v>
      </c>
      <c r="W35" s="667">
        <f t="shared" si="14"/>
        <v>100</v>
      </c>
      <c r="X35" s="1264"/>
      <c r="Y35" s="3407"/>
      <c r="Z35" s="1263" t="str">
        <f t="shared" si="15"/>
        <v>建筑结构</v>
      </c>
      <c r="AA35" s="1263">
        <f t="shared" si="3"/>
        <v>1</v>
      </c>
      <c r="AB35" s="1263">
        <f t="shared" si="4"/>
        <v>1</v>
      </c>
      <c r="AC35" s="1811">
        <f t="shared" si="5"/>
        <v>1</v>
      </c>
    </row>
    <row r="36" spans="1:29" ht="15">
      <c r="A36" s="409"/>
      <c r="B36" s="364" t="s">
        <v>1785</v>
      </c>
      <c r="C36" s="3154" t="s">
        <v>3422</v>
      </c>
      <c r="D36" s="374">
        <v>100</v>
      </c>
      <c r="E36" s="3154" t="s">
        <v>3422</v>
      </c>
      <c r="F36" s="400">
        <f>SUMIF(108:108,E36,109:109)-SUMIF(108:108,C36,109:109)+100</f>
        <v>100</v>
      </c>
      <c r="G36" s="3154" t="s">
        <v>3422</v>
      </c>
      <c r="H36" s="374">
        <f>SUMIF(108:108,G36,109:109)-SUMIF(108:108,C36,109:109)+100</f>
        <v>100</v>
      </c>
      <c r="I36" s="3154" t="s">
        <v>3422</v>
      </c>
      <c r="J36" s="374">
        <f>SUMIF(108:108,I36,109:109)-SUMIF(108:108,C36,109:109)+100</f>
        <v>100</v>
      </c>
      <c r="K36" s="538">
        <v>2</v>
      </c>
      <c r="L36" s="2492"/>
      <c r="M36" s="2487"/>
      <c r="N36" s="2487"/>
      <c r="O36" s="2487"/>
      <c r="P36" s="3405"/>
      <c r="Q36" s="1262" t="str">
        <f t="shared" si="11"/>
        <v>公共部分装修</v>
      </c>
      <c r="R36" s="666" t="s">
        <v>14</v>
      </c>
      <c r="S36" s="667">
        <f t="shared" si="12"/>
        <v>100</v>
      </c>
      <c r="T36" s="666" t="s">
        <v>14</v>
      </c>
      <c r="U36" s="667">
        <f t="shared" si="13"/>
        <v>100</v>
      </c>
      <c r="V36" s="666" t="s">
        <v>14</v>
      </c>
      <c r="W36" s="667">
        <f t="shared" si="14"/>
        <v>100</v>
      </c>
      <c r="X36" s="1264"/>
      <c r="Y36" s="3407"/>
      <c r="Z36" s="1263" t="str">
        <f t="shared" si="15"/>
        <v>公共部分装修</v>
      </c>
      <c r="AA36" s="1263">
        <f t="shared" si="3"/>
        <v>1</v>
      </c>
      <c r="AB36" s="1263">
        <f t="shared" si="4"/>
        <v>1</v>
      </c>
      <c r="AC36" s="1811">
        <f t="shared" si="5"/>
        <v>1</v>
      </c>
    </row>
    <row r="37" spans="1:29" ht="15">
      <c r="A37" s="409"/>
      <c r="B37" s="364" t="s">
        <v>1786</v>
      </c>
      <c r="C37" s="411">
        <v>0.8666666666666667</v>
      </c>
      <c r="D37" s="374">
        <v>100</v>
      </c>
      <c r="E37" s="411">
        <v>0.8666666666666667</v>
      </c>
      <c r="F37" s="400">
        <f>LOOKUP(E37,111:111,112:112)-LOOKUP(C37,111:111,112:112)+100</f>
        <v>100</v>
      </c>
      <c r="G37" s="411">
        <v>0.75</v>
      </c>
      <c r="H37" s="400">
        <f>LOOKUP(G37,111:111,112:112)-LOOKUP(C37,111:111,112:112)+100</f>
        <v>97</v>
      </c>
      <c r="I37" s="411">
        <v>0.85</v>
      </c>
      <c r="J37" s="374">
        <f>LOOKUP(I37,111:111,112:112)-LOOKUP(C37,111:111,112:112)+100</f>
        <v>100</v>
      </c>
      <c r="K37" s="538">
        <v>3</v>
      </c>
      <c r="L37" s="2492"/>
      <c r="M37" s="2487"/>
      <c r="N37" s="2487"/>
      <c r="O37" s="2487"/>
      <c r="P37" s="3405"/>
      <c r="Q37" s="1262" t="str">
        <f t="shared" si="11"/>
        <v>成新度</v>
      </c>
      <c r="R37" s="666" t="s">
        <v>14</v>
      </c>
      <c r="S37" s="667">
        <f t="shared" si="12"/>
        <v>100</v>
      </c>
      <c r="T37" s="666" t="s">
        <v>14</v>
      </c>
      <c r="U37" s="667">
        <f t="shared" si="13"/>
        <v>97</v>
      </c>
      <c r="V37" s="666" t="s">
        <v>14</v>
      </c>
      <c r="W37" s="667">
        <f t="shared" si="14"/>
        <v>100</v>
      </c>
      <c r="X37" s="1264"/>
      <c r="Y37" s="3407"/>
      <c r="Z37" s="1263" t="str">
        <f t="shared" si="15"/>
        <v>成新度</v>
      </c>
      <c r="AA37" s="1263">
        <f t="shared" si="3"/>
        <v>1</v>
      </c>
      <c r="AB37" s="1263">
        <f t="shared" si="4"/>
        <v>1.0309278350515463</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5"/>
      <c r="Q38" s="530"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9"/>
      <c r="B39" s="364" t="s">
        <v>1819</v>
      </c>
      <c r="C39" s="3154" t="s">
        <v>3423</v>
      </c>
      <c r="D39" s="374">
        <v>100</v>
      </c>
      <c r="E39" s="3154" t="s">
        <v>3423</v>
      </c>
      <c r="F39" s="400">
        <f>SUMIF(115:115,E39,116:116)-SUMIF(115:115,C39,116:116)+100</f>
        <v>100</v>
      </c>
      <c r="G39" s="3154" t="s">
        <v>3423</v>
      </c>
      <c r="H39" s="374">
        <f>SUMIF(115:115,G39,116:116)-SUMIF(115:115,C39,116:116)+100</f>
        <v>100</v>
      </c>
      <c r="I39" s="3154" t="s">
        <v>3423</v>
      </c>
      <c r="J39" s="374">
        <f>SUMIF(115:115,I39,116:116)-SUMIF(115:115,C39,116:116)+100</f>
        <v>100</v>
      </c>
      <c r="K39" s="538">
        <v>3</v>
      </c>
      <c r="L39" s="2492"/>
      <c r="M39" s="2487"/>
      <c r="N39" s="2487"/>
      <c r="O39" s="2487"/>
      <c r="P39" s="3405" t="s">
        <v>1696</v>
      </c>
      <c r="Q39" s="1262" t="str">
        <f t="shared" si="11"/>
        <v>物业管理</v>
      </c>
      <c r="R39" s="666" t="s">
        <v>14</v>
      </c>
      <c r="S39" s="667">
        <f t="shared" si="12"/>
        <v>100</v>
      </c>
      <c r="T39" s="666" t="s">
        <v>14</v>
      </c>
      <c r="U39" s="667">
        <f t="shared" si="13"/>
        <v>100</v>
      </c>
      <c r="V39" s="666" t="s">
        <v>14</v>
      </c>
      <c r="W39" s="667">
        <f t="shared" si="14"/>
        <v>100</v>
      </c>
      <c r="X39" s="1264"/>
      <c r="Y39" s="340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5"/>
      <c r="Q40" s="1262" t="str">
        <f t="shared" si="11"/>
        <v>市政基础设施</v>
      </c>
      <c r="R40" s="666" t="s">
        <v>14</v>
      </c>
      <c r="S40" s="667">
        <f t="shared" si="12"/>
        <v>100</v>
      </c>
      <c r="T40" s="666" t="s">
        <v>14</v>
      </c>
      <c r="U40" s="667">
        <f t="shared" si="13"/>
        <v>100</v>
      </c>
      <c r="V40" s="666" t="s">
        <v>14</v>
      </c>
      <c r="W40" s="667">
        <f t="shared" si="14"/>
        <v>100</v>
      </c>
      <c r="X40" s="1264"/>
      <c r="Y40" s="3407"/>
      <c r="Z40" s="1263" t="str">
        <f t="shared" si="15"/>
        <v>市政基础设施</v>
      </c>
      <c r="AA40" s="1263">
        <f t="shared" si="3"/>
        <v>1</v>
      </c>
      <c r="AB40" s="1263">
        <f t="shared" si="4"/>
        <v>1</v>
      </c>
      <c r="AC40" s="1811">
        <f t="shared" si="5"/>
        <v>1</v>
      </c>
    </row>
    <row r="41" spans="1:29" ht="15">
      <c r="A41" s="409"/>
      <c r="B41" s="364" t="s">
        <v>1789</v>
      </c>
      <c r="C41" s="542" t="s">
        <v>3404</v>
      </c>
      <c r="D41" s="374">
        <v>100</v>
      </c>
      <c r="E41" s="542" t="s">
        <v>3404</v>
      </c>
      <c r="F41" s="400">
        <f>SUMIF(119:119,E41,120:120)-SUMIF(119:119,C41,120:120)+100</f>
        <v>100</v>
      </c>
      <c r="G41" s="542" t="s">
        <v>3404</v>
      </c>
      <c r="H41" s="374">
        <f>SUMIF(119:119,G41,120:120)-SUMIF(119:119,C41,120:120)+100</f>
        <v>100</v>
      </c>
      <c r="I41" s="542" t="s">
        <v>3428</v>
      </c>
      <c r="J41" s="374">
        <f>SUMIF(119:119,I41,120:120)-SUMIF(119:119,C41,120:120)+100</f>
        <v>105</v>
      </c>
      <c r="K41" s="538">
        <v>5</v>
      </c>
      <c r="L41" s="2492"/>
      <c r="M41" s="2487"/>
      <c r="N41" s="2487"/>
      <c r="O41" s="2487"/>
      <c r="P41" s="3405"/>
      <c r="Q41" s="1262" t="str">
        <f t="shared" si="11"/>
        <v>层高</v>
      </c>
      <c r="R41" s="666" t="s">
        <v>14</v>
      </c>
      <c r="S41" s="667">
        <f t="shared" si="12"/>
        <v>100</v>
      </c>
      <c r="T41" s="666" t="s">
        <v>14</v>
      </c>
      <c r="U41" s="667">
        <f t="shared" si="13"/>
        <v>100</v>
      </c>
      <c r="V41" s="666" t="s">
        <v>14</v>
      </c>
      <c r="W41" s="667">
        <f t="shared" si="14"/>
        <v>105</v>
      </c>
      <c r="X41" s="1264"/>
      <c r="Y41" s="3407"/>
      <c r="Z41" s="1263" t="str">
        <f t="shared" si="15"/>
        <v>层高</v>
      </c>
      <c r="AA41" s="1263">
        <f t="shared" si="3"/>
        <v>1</v>
      </c>
      <c r="AB41" s="1263">
        <f t="shared" si="4"/>
        <v>1</v>
      </c>
      <c r="AC41" s="1811">
        <f t="shared" si="5"/>
        <v>0.95238095238095233</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5"/>
      <c r="Q42" s="531"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3">
        <f t="shared" si="3"/>
        <v>1</v>
      </c>
      <c r="AB42" s="1263">
        <f t="shared" si="4"/>
        <v>1</v>
      </c>
      <c r="AC42" s="1811">
        <f t="shared" si="5"/>
        <v>1</v>
      </c>
    </row>
    <row r="43" spans="1:29" ht="15">
      <c r="A43" s="409"/>
      <c r="B43" s="364" t="s">
        <v>1792</v>
      </c>
      <c r="C43" s="399" t="s">
        <v>3405</v>
      </c>
      <c r="D43" s="374">
        <v>100</v>
      </c>
      <c r="E43" s="399" t="s">
        <v>3405</v>
      </c>
      <c r="F43" s="400">
        <f>SUMIF(123:123,E43,124:124)-SUMIF(123:123,C43,124:124)+100</f>
        <v>100</v>
      </c>
      <c r="G43" s="399" t="s">
        <v>3405</v>
      </c>
      <c r="H43" s="374">
        <f>SUMIF(123:123,G43,124:124)-SUMIF(123:123,C43,124:124)+100</f>
        <v>100</v>
      </c>
      <c r="I43" s="399" t="s">
        <v>3405</v>
      </c>
      <c r="J43" s="374">
        <f>SUMIF(123:123,I43,124:124)-SUMIF(123:123,C43,124:124)+100</f>
        <v>100</v>
      </c>
      <c r="K43" s="538">
        <v>2</v>
      </c>
      <c r="L43" s="2492"/>
      <c r="M43" s="2487"/>
      <c r="N43" s="2487"/>
      <c r="O43" s="2487"/>
      <c r="P43" s="3405"/>
      <c r="Q43" s="1262" t="str">
        <f t="shared" si="11"/>
        <v>内部装修</v>
      </c>
      <c r="R43" s="666" t="s">
        <v>14</v>
      </c>
      <c r="S43" s="667">
        <f t="shared" si="12"/>
        <v>100</v>
      </c>
      <c r="T43" s="666" t="s">
        <v>14</v>
      </c>
      <c r="U43" s="667">
        <f t="shared" si="13"/>
        <v>100</v>
      </c>
      <c r="V43" s="666" t="s">
        <v>14</v>
      </c>
      <c r="W43" s="667">
        <f t="shared" si="14"/>
        <v>100</v>
      </c>
      <c r="X43" s="1264"/>
      <c r="Y43" s="340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5"/>
      <c r="Q44" s="1262" t="str">
        <f t="shared" si="11"/>
        <v>内部装修维护情况</v>
      </c>
      <c r="R44" s="666" t="s">
        <v>14</v>
      </c>
      <c r="S44" s="667">
        <f t="shared" si="12"/>
        <v>100</v>
      </c>
      <c r="T44" s="666" t="s">
        <v>14</v>
      </c>
      <c r="U44" s="667">
        <f t="shared" si="13"/>
        <v>100</v>
      </c>
      <c r="V44" s="666" t="s">
        <v>14</v>
      </c>
      <c r="W44" s="667">
        <f t="shared" si="14"/>
        <v>100</v>
      </c>
      <c r="X44" s="1264"/>
      <c r="Y44" s="3407"/>
      <c r="Z44" s="1263" t="str">
        <f t="shared" si="15"/>
        <v>内部装修维护情况</v>
      </c>
      <c r="AA44" s="1263">
        <f t="shared" si="3"/>
        <v>1</v>
      </c>
      <c r="AB44" s="1263">
        <f t="shared" si="4"/>
        <v>1</v>
      </c>
      <c r="AC44" s="1811">
        <f t="shared" si="5"/>
        <v>1</v>
      </c>
    </row>
    <row r="45" spans="1:29" s="102" customFormat="1" ht="15.75" thickBot="1">
      <c r="A45" s="410"/>
      <c r="B45" s="3150" t="s">
        <v>3418</v>
      </c>
      <c r="C45" s="3151" t="s">
        <v>3417</v>
      </c>
      <c r="D45" s="119">
        <v>100</v>
      </c>
      <c r="E45" s="3152" t="s">
        <v>3416</v>
      </c>
      <c r="F45" s="364">
        <f>SUMIF(127:127,E45,128:128)-SUMIF(127:127,C45,128:128)+100</f>
        <v>103</v>
      </c>
      <c r="G45" s="3152" t="s">
        <v>3416</v>
      </c>
      <c r="H45" s="119">
        <f>SUMIF(127:127,G45,128:128)-SUMIF(127:127,C45,128:128)+100</f>
        <v>103</v>
      </c>
      <c r="I45" s="3152" t="s">
        <v>3417</v>
      </c>
      <c r="J45" s="119">
        <f>SUMIF(127:127,I45,128:128)-SUMIF(127:127,C45,128:128)+100</f>
        <v>100</v>
      </c>
      <c r="K45" s="539"/>
      <c r="L45" s="2488"/>
      <c r="M45" s="2439"/>
      <c r="N45" s="2439"/>
      <c r="O45" s="2439"/>
      <c r="P45" s="3405"/>
      <c r="Q45" s="530" t="str">
        <f t="shared" si="11"/>
        <v>项目状况</v>
      </c>
      <c r="R45" s="663" t="s">
        <v>14</v>
      </c>
      <c r="S45" s="664">
        <f t="shared" si="12"/>
        <v>103</v>
      </c>
      <c r="T45" s="663" t="s">
        <v>14</v>
      </c>
      <c r="U45" s="664">
        <f t="shared" si="13"/>
        <v>103</v>
      </c>
      <c r="V45" s="663" t="s">
        <v>14</v>
      </c>
      <c r="W45" s="664">
        <f t="shared" si="14"/>
        <v>100</v>
      </c>
      <c r="X45" s="665"/>
      <c r="Y45" s="3407"/>
      <c r="Z45" s="50" t="str">
        <f t="shared" si="15"/>
        <v>项目状况</v>
      </c>
      <c r="AA45" s="50">
        <f t="shared" si="3"/>
        <v>0.970873786407767</v>
      </c>
      <c r="AB45" s="50">
        <f t="shared" si="4"/>
        <v>0.970873786407767</v>
      </c>
      <c r="AC45" s="801">
        <f t="shared" si="5"/>
        <v>1</v>
      </c>
    </row>
    <row r="46" spans="1:29" ht="15" hidden="1">
      <c r="A46" s="409"/>
      <c r="B46" s="1065"/>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5"/>
      <c r="Q46" s="1262">
        <f t="shared" si="11"/>
        <v>0</v>
      </c>
      <c r="R46" s="666" t="s">
        <v>14</v>
      </c>
      <c r="S46" s="667">
        <f t="shared" si="12"/>
        <v>100</v>
      </c>
      <c r="T46" s="666" t="s">
        <v>14</v>
      </c>
      <c r="U46" s="667">
        <f t="shared" si="13"/>
        <v>100</v>
      </c>
      <c r="V46" s="666" t="s">
        <v>14</v>
      </c>
      <c r="W46" s="667">
        <f t="shared" si="14"/>
        <v>100</v>
      </c>
      <c r="X46" s="1264"/>
      <c r="Y46" s="3407"/>
      <c r="Z46" s="1263">
        <f t="shared" si="15"/>
        <v>0</v>
      </c>
      <c r="AA46" s="1263">
        <f t="shared" si="3"/>
        <v>1</v>
      </c>
      <c r="AB46" s="1263">
        <f t="shared" si="4"/>
        <v>1</v>
      </c>
      <c r="AC46" s="1811">
        <f t="shared" si="5"/>
        <v>1</v>
      </c>
    </row>
    <row r="47" spans="1:29" ht="15.75" hidden="1" thickBot="1">
      <c r="A47" s="415"/>
      <c r="B47" s="1748"/>
      <c r="C47" s="376"/>
      <c r="D47" s="377">
        <v>100</v>
      </c>
      <c r="E47" s="371"/>
      <c r="F47" s="378">
        <f>SUMIF(131:131,E47,132:132)-SUMIF(131:131,C47,132:132)+100</f>
        <v>100</v>
      </c>
      <c r="G47" s="371">
        <v>2008</v>
      </c>
      <c r="H47" s="377">
        <f>SUMIF(131:131,G47,132:132)-SUMIF(131:131,C47,132:132)+100</f>
        <v>100</v>
      </c>
      <c r="I47" s="371">
        <v>2014</v>
      </c>
      <c r="J47" s="377">
        <f>SUMIF(131:131,I47,132:132)-SUMIF(131:131,C47,132:132)+100</f>
        <v>100</v>
      </c>
      <c r="K47" s="539"/>
      <c r="L47" s="2492"/>
      <c r="M47" s="2487"/>
      <c r="N47" s="2487"/>
      <c r="O47" s="2487"/>
      <c r="P47" s="3406"/>
      <c r="Q47" s="1262">
        <f t="shared" si="11"/>
        <v>0</v>
      </c>
      <c r="R47" s="666" t="s">
        <v>14</v>
      </c>
      <c r="S47" s="667">
        <f t="shared" si="12"/>
        <v>100</v>
      </c>
      <c r="T47" s="666" t="s">
        <v>14</v>
      </c>
      <c r="U47" s="667">
        <f t="shared" si="13"/>
        <v>100</v>
      </c>
      <c r="V47" s="666" t="s">
        <v>14</v>
      </c>
      <c r="W47" s="667">
        <f t="shared" si="14"/>
        <v>100</v>
      </c>
      <c r="X47" s="1264"/>
      <c r="Y47" s="3408"/>
      <c r="Z47" s="1263">
        <f t="shared" si="15"/>
        <v>0</v>
      </c>
      <c r="AA47" s="1263">
        <f t="shared" si="3"/>
        <v>1</v>
      </c>
      <c r="AB47" s="1263">
        <f t="shared" si="4"/>
        <v>1</v>
      </c>
      <c r="AC47" s="1811">
        <f t="shared" si="5"/>
        <v>1</v>
      </c>
    </row>
    <row r="48" spans="1:29" ht="15">
      <c r="A48" s="416" t="s">
        <v>1708</v>
      </c>
      <c r="B48" s="417"/>
      <c r="C48" s="1080" t="s">
        <v>0</v>
      </c>
      <c r="D48" s="418"/>
      <c r="E48" s="419">
        <f>2519*10000/1145</f>
        <v>22000</v>
      </c>
      <c r="F48" s="420"/>
      <c r="G48" s="421">
        <f>3420/1900*10000</f>
        <v>18000</v>
      </c>
      <c r="H48" s="422"/>
      <c r="I48" s="419">
        <v>22000</v>
      </c>
      <c r="J48" s="422"/>
      <c r="K48" s="673"/>
      <c r="L48" s="2494"/>
      <c r="M48" s="2487"/>
      <c r="N48" s="2487"/>
      <c r="O48" s="2487"/>
      <c r="P48" s="3383" t="str">
        <f>A48</f>
        <v>成交单价（元/平方米）</v>
      </c>
      <c r="Q48" s="3401"/>
      <c r="R48" s="3396">
        <f>E48</f>
        <v>22000</v>
      </c>
      <c r="S48" s="3396"/>
      <c r="T48" s="3396">
        <f>G48</f>
        <v>18000</v>
      </c>
      <c r="U48" s="3396"/>
      <c r="V48" s="3396">
        <f>I48</f>
        <v>22000</v>
      </c>
      <c r="W48" s="3396"/>
      <c r="X48" s="385"/>
      <c r="Y48" s="672"/>
      <c r="Z48" s="385"/>
      <c r="AA48" s="385"/>
      <c r="AB48" s="385"/>
      <c r="AC48" s="555"/>
    </row>
    <row r="49" spans="1:29" ht="15.75" thickBot="1">
      <c r="A49" s="423" t="s">
        <v>1793</v>
      </c>
      <c r="B49" s="424"/>
      <c r="C49" s="1081">
        <f>R50</f>
        <v>20846</v>
      </c>
      <c r="D49" s="2140" t="s">
        <v>2137</v>
      </c>
      <c r="E49" s="1082">
        <f>R49</f>
        <v>21627</v>
      </c>
      <c r="F49" s="2141"/>
      <c r="G49" s="1081">
        <f>T49</f>
        <v>18792</v>
      </c>
      <c r="H49" s="2141"/>
      <c r="I49" s="1082">
        <f>V49</f>
        <v>22118</v>
      </c>
      <c r="J49" s="2141"/>
      <c r="K49" s="2143">
        <f>F49+H49+J49</f>
        <v>0</v>
      </c>
      <c r="L49" s="2494"/>
      <c r="M49" s="2487"/>
      <c r="N49" s="2487"/>
      <c r="O49" s="2487"/>
      <c r="P49" s="3383" t="str">
        <f>A49</f>
        <v>比较价值（元/平方米）</v>
      </c>
      <c r="Q49" s="3401"/>
      <c r="R49" s="3396">
        <f>IF(F1="售价",ROUND(PRODUCT(R48,AA7:AA47),0),ROUND(PRODUCT(R48,AA7:AA47),1))</f>
        <v>21627</v>
      </c>
      <c r="S49" s="3396"/>
      <c r="T49" s="3396">
        <f>IF(F1="售价",ROUND(PRODUCT(T48,AB7:AB47),0),ROUND(PRODUCT(T48,AB7:AB47),1))</f>
        <v>18792</v>
      </c>
      <c r="U49" s="3396"/>
      <c r="V49" s="3396">
        <f>IF(F1="售价",ROUND(PRODUCT(V48,AC7:AC47),0),ROUND(PRODUCT(V48,AC7:AC47),1))</f>
        <v>22118</v>
      </c>
      <c r="W49" s="3396"/>
      <c r="X49" s="385"/>
      <c r="Y49" s="385"/>
      <c r="Z49" s="385"/>
      <c r="AA49" s="385"/>
      <c r="AB49" s="385"/>
      <c r="AC49" s="555"/>
    </row>
    <row r="50" spans="1:29" ht="15.75" thickBot="1">
      <c r="A50" s="427" t="s">
        <v>1794</v>
      </c>
      <c r="B50" s="428"/>
      <c r="C50" s="351">
        <f>R50</f>
        <v>20846</v>
      </c>
      <c r="D50" s="351"/>
      <c r="E50" s="351"/>
      <c r="F50" s="351"/>
      <c r="G50" s="351"/>
      <c r="H50" s="351"/>
      <c r="I50" s="351"/>
      <c r="J50" s="429"/>
      <c r="K50" s="674"/>
      <c r="L50" s="2494"/>
      <c r="M50" s="2487"/>
      <c r="N50" s="2487"/>
      <c r="O50" s="2487"/>
      <c r="P50" s="3425" t="str">
        <f>A50</f>
        <v>估价对象XX用房的比较价值（楼面单价，元/平方米）</v>
      </c>
      <c r="Q50" s="3426"/>
      <c r="R50" s="3427">
        <f>IF(F1="售价",ROUND(IF(D49="简单平均",AVERAGE(R49:V49),R49*F49+T49*H49+V49*J49),0),ROUND(IF(D49="简单平均",AVERAGE(R49:V49),R49*F49+T49*H49+V49*J49),1))</f>
        <v>20846</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1.7246959818745022E-2</v>
      </c>
      <c r="F53" s="435" t="str">
        <f>IF(OR(E53&gt;=0.3,E53&lt;=-0.3),"超过30%","")</f>
        <v/>
      </c>
      <c r="G53" s="434">
        <f>IF(G48&lt;G49,G49/G48-1,G48/G49-1)</f>
        <v>4.4000000000000039E-2</v>
      </c>
      <c r="H53" s="435" t="str">
        <f>IF(OR(G53&gt;=0.3,G53&lt;=-0.3),"超过30%","")</f>
        <v/>
      </c>
      <c r="I53" s="434">
        <f>IF(I48&lt;I49,I49/I48-1,I48/I49-1)</f>
        <v>5.3636363636364592E-3</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0.15086206896551735</v>
      </c>
      <c r="F54" s="435" t="str">
        <f>IF(OR(E54&gt;=0.2,E54&lt;=-0.2),"超过20%","")</f>
        <v/>
      </c>
      <c r="G54" s="434">
        <f>IF(G49&lt;I49,I49/G49-1,G49/I49-1)</f>
        <v>0.17699020859940395</v>
      </c>
      <c r="H54" s="435" t="str">
        <f>IF(OR(G54&gt;=0.2,G54&lt;=-0.2),"超过20%","")</f>
        <v/>
      </c>
      <c r="I54" s="434">
        <f>IF(I49&lt;E49,E49/I49-1,I49/E49-1)</f>
        <v>2.2703102603227387E-2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0.22222222222222232</v>
      </c>
      <c r="F55" s="435" t="str">
        <f>IF(OR(E55&gt;=0.3,E55&lt;=-0.3),"超过30%","")</f>
        <v/>
      </c>
      <c r="G55" s="434">
        <f>IF(G48&lt;I48,I48/G48-1,G48/I48-1)</f>
        <v>0.22222222222222232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5" t="s">
        <v>3408</v>
      </c>
      <c r="E62" s="3145"/>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商业立项办公</v>
      </c>
      <c r="D64" s="3146" t="s">
        <v>3409</v>
      </c>
      <c r="E64" s="3146"/>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95</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3402</v>
      </c>
      <c r="D66" s="513" t="s">
        <v>3411</v>
      </c>
      <c r="E66" s="513" t="s">
        <v>3412</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0</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0</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0</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97</v>
      </c>
      <c r="E82" s="475">
        <f>D82-$K19</f>
        <v>94</v>
      </c>
      <c r="F82" s="475">
        <f>E82-$K19</f>
        <v>91</v>
      </c>
      <c r="G82" s="475">
        <f>F82-$K19</f>
        <v>88</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0(含)-150</v>
      </c>
      <c r="D103" s="509" t="str">
        <f t="shared" ref="D103:L103" si="23">D104&amp;"(含)"&amp;"-"&amp;E104</f>
        <v>150(含)-500</v>
      </c>
      <c r="E103" s="509" t="str">
        <f t="shared" si="23"/>
        <v>500(含)-1000</v>
      </c>
      <c r="F103" s="509" t="str">
        <f t="shared" si="23"/>
        <v>1000(含)-1500</v>
      </c>
      <c r="G103" s="509" t="str">
        <f t="shared" si="23"/>
        <v>1500(含)-2000</v>
      </c>
      <c r="H103" s="509" t="str">
        <f t="shared" si="23"/>
        <v>2000(含)-2500</v>
      </c>
      <c r="I103" s="509" t="str">
        <f t="shared" si="23"/>
        <v>2500(含)-3000</v>
      </c>
      <c r="J103" s="509" t="str">
        <f t="shared" si="23"/>
        <v>3000(含)-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150</v>
      </c>
      <c r="E104" s="6">
        <v>500</v>
      </c>
      <c r="F104" s="3495">
        <v>1000</v>
      </c>
      <c r="G104" s="3495">
        <v>1500</v>
      </c>
      <c r="H104" s="3495">
        <v>2000</v>
      </c>
      <c r="I104" s="3495">
        <v>2500</v>
      </c>
      <c r="J104" s="524">
        <v>3000</v>
      </c>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3496">
        <v>97</v>
      </c>
      <c r="G105" s="3497">
        <v>96</v>
      </c>
      <c r="H105" s="3496">
        <v>95</v>
      </c>
      <c r="I105" s="3497">
        <v>94</v>
      </c>
      <c r="J105" s="467">
        <v>93</v>
      </c>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97</v>
      </c>
      <c r="E107" s="475">
        <f t="shared" si="24"/>
        <v>94</v>
      </c>
      <c r="F107" s="475">
        <f t="shared" si="24"/>
        <v>91</v>
      </c>
      <c r="G107" s="475">
        <f t="shared" si="24"/>
        <v>88</v>
      </c>
      <c r="H107" s="475">
        <f t="shared" si="24"/>
        <v>85</v>
      </c>
      <c r="I107" s="475">
        <f t="shared" si="24"/>
        <v>82</v>
      </c>
      <c r="J107" s="475">
        <f t="shared" si="24"/>
        <v>79</v>
      </c>
      <c r="K107" s="475">
        <f t="shared" si="24"/>
        <v>76</v>
      </c>
      <c r="L107" s="475">
        <f t="shared" si="24"/>
        <v>73</v>
      </c>
      <c r="M107" s="476">
        <f t="shared" si="24"/>
        <v>70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103</v>
      </c>
      <c r="E112" s="475">
        <f t="shared" ref="E112:M112" si="26">D112+$K37</f>
        <v>106</v>
      </c>
      <c r="F112" s="475">
        <f t="shared" si="26"/>
        <v>109</v>
      </c>
      <c r="G112" s="475">
        <f t="shared" si="26"/>
        <v>112</v>
      </c>
      <c r="H112" s="475">
        <f t="shared" si="26"/>
        <v>115</v>
      </c>
      <c r="I112" s="475">
        <f t="shared" si="26"/>
        <v>118</v>
      </c>
      <c r="J112" s="475">
        <f t="shared" si="26"/>
        <v>121</v>
      </c>
      <c r="K112" s="475">
        <f t="shared" si="26"/>
        <v>124</v>
      </c>
      <c r="L112" s="475">
        <f t="shared" si="26"/>
        <v>127</v>
      </c>
      <c r="M112" s="475">
        <f t="shared" si="26"/>
        <v>130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97</v>
      </c>
      <c r="E116" s="475">
        <f t="shared" si="28"/>
        <v>94</v>
      </c>
      <c r="F116" s="475">
        <f t="shared" si="28"/>
        <v>91</v>
      </c>
      <c r="G116" s="475">
        <f t="shared" si="28"/>
        <v>88</v>
      </c>
      <c r="H116" s="475">
        <f t="shared" si="28"/>
        <v>85</v>
      </c>
      <c r="I116" s="475">
        <f t="shared" si="28"/>
        <v>82</v>
      </c>
      <c r="J116" s="475">
        <f t="shared" si="28"/>
        <v>79</v>
      </c>
      <c r="K116" s="475">
        <f t="shared" si="28"/>
        <v>76</v>
      </c>
      <c r="L116" s="475">
        <f t="shared" si="28"/>
        <v>73</v>
      </c>
      <c r="M116" s="476">
        <f t="shared" si="28"/>
        <v>70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48" t="s">
        <v>3429</v>
      </c>
      <c r="D119" s="3148" t="s">
        <v>3427</v>
      </c>
      <c r="E119" s="3148"/>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7" t="s">
        <v>3413</v>
      </c>
      <c r="D123" s="3147" t="s">
        <v>3405</v>
      </c>
      <c r="E123" s="3147" t="s">
        <v>3414</v>
      </c>
      <c r="F123" s="3148" t="s">
        <v>3415</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项目状况</v>
      </c>
      <c r="C127" s="3149" t="s">
        <v>3416</v>
      </c>
      <c r="D127" s="3149" t="s">
        <v>3417</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103</v>
      </c>
      <c r="D128" s="467">
        <v>100</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0</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0</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E6:F6"/>
    <mergeCell ref="G6:H6"/>
    <mergeCell ref="I5:J5"/>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v>301</v>
      </c>
      <c r="D1" s="1270" t="s">
        <v>43</v>
      </c>
      <c r="E1" s="1271" t="s">
        <v>678</v>
      </c>
      <c r="F1" s="998">
        <f ca="1">J53</f>
        <v>28.5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473.9119</v>
      </c>
      <c r="C2" s="1288" t="s">
        <v>879</v>
      </c>
      <c r="D2" s="1374">
        <f ca="1">C40+J29+L46</f>
        <v>4739119</v>
      </c>
      <c r="E2" s="1294" t="s">
        <v>880</v>
      </c>
      <c r="F2" s="1295"/>
      <c r="G2" s="2478"/>
      <c r="H2" s="2468"/>
      <c r="I2" s="2468"/>
      <c r="J2" s="2468"/>
      <c r="K2" s="2469"/>
      <c r="L2" s="2468"/>
      <c r="M2" s="2468"/>
    </row>
    <row r="3" spans="1:37" ht="18" customHeight="1" thickBot="1">
      <c r="A3" s="1296" t="s">
        <v>881</v>
      </c>
      <c r="B3" s="1297">
        <f ca="1">IF(ISERROR(D2/F43),0,ROUND(D2/F43,0))</f>
        <v>14029</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288893</v>
      </c>
      <c r="D5" s="1272" t="s">
        <v>889</v>
      </c>
      <c r="E5" s="1007"/>
      <c r="F5" s="1008"/>
      <c r="G5" s="1291"/>
      <c r="H5" s="291">
        <v>1</v>
      </c>
      <c r="I5" s="292" t="s">
        <v>888</v>
      </c>
      <c r="J5" s="1006">
        <f ca="1">J6+J10+J12</f>
        <v>0</v>
      </c>
      <c r="K5" s="1272" t="s">
        <v>889</v>
      </c>
      <c r="L5" s="1007"/>
      <c r="M5" s="1008"/>
    </row>
    <row r="6" spans="1:37" ht="18" customHeight="1">
      <c r="A6" s="1005" t="s">
        <v>398</v>
      </c>
      <c r="B6" s="3342" t="s">
        <v>694</v>
      </c>
      <c r="C6" s="1010">
        <f ca="1">ROUND(F6*F8*F7*(1-F9),0)</f>
        <v>288532</v>
      </c>
      <c r="D6" s="147" t="s">
        <v>2105</v>
      </c>
      <c r="E6" s="294" t="s">
        <v>696</v>
      </c>
      <c r="F6" s="295">
        <f ca="1">INDIRECT("'数据-取费表'!u"&amp;$G$1)</f>
        <v>2.6</v>
      </c>
      <c r="G6" s="1291"/>
      <c r="H6" s="1005" t="s">
        <v>398</v>
      </c>
      <c r="I6" s="3342" t="s">
        <v>694</v>
      </c>
      <c r="J6" s="293">
        <f ca="1">ROUND(M6*M8*M7*(1-M9),0)</f>
        <v>0</v>
      </c>
      <c r="K6" s="1283" t="s">
        <v>2106</v>
      </c>
      <c r="L6" s="294" t="s">
        <v>696</v>
      </c>
      <c r="M6" s="295">
        <f ca="1">INDIRECT("'数据-取费表'!z"&amp;$G$1)</f>
        <v>0</v>
      </c>
    </row>
    <row r="7" spans="1:37" ht="18" customHeight="1">
      <c r="A7" s="1009"/>
      <c r="B7" s="3343"/>
      <c r="C7" s="1011"/>
      <c r="D7" s="299"/>
      <c r="E7" s="1012" t="s">
        <v>697</v>
      </c>
      <c r="F7" s="295">
        <f ca="1">IF(INDIRECT("'数据-取费表'!ah"&amp;$G$1)="",INDIRECT("'数据-取费表'!k"&amp;$G$1),INDIRECT("'数据-取费表'!ah"&amp;$G$1))</f>
        <v>337.82</v>
      </c>
      <c r="G7" s="1291"/>
      <c r="H7" s="296"/>
      <c r="I7" s="3343"/>
      <c r="J7" s="298"/>
      <c r="K7" s="299"/>
      <c r="L7" s="294" t="s">
        <v>697</v>
      </c>
      <c r="M7" s="295">
        <f ca="1">F7</f>
        <v>337.82</v>
      </c>
    </row>
    <row r="8" spans="1:37" ht="18" customHeight="1">
      <c r="A8" s="296"/>
      <c r="B8" s="3343"/>
      <c r="C8" s="298"/>
      <c r="D8" s="299"/>
      <c r="E8" s="294" t="s">
        <v>698</v>
      </c>
      <c r="F8" s="295">
        <f ca="1">INDIRECT("'数据-取费表'!ai"&amp;$G$1)</f>
        <v>365</v>
      </c>
      <c r="G8" s="1291"/>
      <c r="H8" s="296"/>
      <c r="I8" s="3343"/>
      <c r="J8" s="298"/>
      <c r="K8" s="299"/>
      <c r="L8" s="294" t="s">
        <v>698</v>
      </c>
      <c r="M8" s="295">
        <f ca="1">INDIRECT("'数据-取费表'!ai"&amp;$G$1)</f>
        <v>365</v>
      </c>
    </row>
    <row r="9" spans="1:37" ht="18" customHeight="1">
      <c r="A9" s="296"/>
      <c r="B9" s="3344"/>
      <c r="C9" s="298"/>
      <c r="D9" s="299"/>
      <c r="E9" s="294" t="s">
        <v>699</v>
      </c>
      <c r="F9" s="304">
        <f ca="1">INDIRECT("'数据-取费表'!w"&amp;$G$1)</f>
        <v>0.1</v>
      </c>
      <c r="G9" s="1291"/>
      <c r="H9" s="296"/>
      <c r="I9" s="3344"/>
      <c r="J9" s="298"/>
      <c r="K9" s="299"/>
      <c r="L9" s="305" t="s">
        <v>699</v>
      </c>
      <c r="M9" s="306">
        <f ca="1">INDIRECT("'数据-取费表'!ab"&amp;$G$1)</f>
        <v>0</v>
      </c>
    </row>
    <row r="10" spans="1:37" ht="18" customHeight="1">
      <c r="A10" s="1005" t="s">
        <v>402</v>
      </c>
      <c r="B10" s="1273" t="s">
        <v>700</v>
      </c>
      <c r="C10" s="308">
        <f ca="1">ROUND(IF(F10="押一",C6/12*F11,IF(F10="押二",C6/12*2*F11,IF(F10="押三",C6/12*3*F11,C11*F11))),0)</f>
        <v>361</v>
      </c>
      <c r="D10" s="150" t="s">
        <v>2115</v>
      </c>
      <c r="E10" s="305" t="s">
        <v>701</v>
      </c>
      <c r="F10" s="1052" t="s">
        <v>3389</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1508220</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1182370</v>
      </c>
      <c r="D14" s="1256" t="s">
        <v>708</v>
      </c>
      <c r="E14" s="1254"/>
      <c r="F14" s="311"/>
      <c r="G14" s="1291"/>
      <c r="H14" s="927" t="s">
        <v>398</v>
      </c>
      <c r="I14" s="294" t="s">
        <v>709</v>
      </c>
      <c r="J14" s="21">
        <f ca="1">C29</f>
        <v>1733586</v>
      </c>
      <c r="K14" s="12"/>
      <c r="L14" s="758"/>
      <c r="M14" s="759"/>
    </row>
    <row r="15" spans="1:37" s="1303" customFormat="1" ht="18" customHeight="1" thickBot="1">
      <c r="A15" s="927" t="s">
        <v>399</v>
      </c>
      <c r="B15" s="294" t="s">
        <v>710</v>
      </c>
      <c r="C15" s="21">
        <f ca="1">ROUND(C14*F15,0)</f>
        <v>59119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1734</v>
      </c>
      <c r="K16" s="1023" t="s">
        <v>715</v>
      </c>
      <c r="L16" s="1024"/>
      <c r="M16" s="1008"/>
    </row>
    <row r="17" spans="1:37" s="1303" customFormat="1" ht="18" customHeight="1">
      <c r="A17" s="927" t="s">
        <v>681</v>
      </c>
      <c r="B17" s="294" t="s">
        <v>716</v>
      </c>
      <c r="C17" s="21">
        <f ca="1">ROUND(F17*(F43+INDIRECT("'数据-取费表'!S"&amp;$G$1)),0)</f>
        <v>67564</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17736</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1326789</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26536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1734</v>
      </c>
      <c r="K22" s="1255" t="s">
        <v>739</v>
      </c>
      <c r="L22" s="294" t="s">
        <v>712</v>
      </c>
      <c r="M22" s="320">
        <f ca="1">INDIRECT("'数据-取费表'!Ak"&amp;$G$1)</f>
        <v>1E-3</v>
      </c>
    </row>
    <row r="23" spans="1:37" s="1303" customFormat="1" ht="18" customHeight="1">
      <c r="A23" s="927" t="s">
        <v>397</v>
      </c>
      <c r="B23" s="294" t="s">
        <v>740</v>
      </c>
      <c r="C23" s="21">
        <f ca="1">IF('数据-取费表'!B22&lt;=1,ROUND(C19*F24*F23/2,0)+ROUND(C20*F24*F23/2,0),ROUND(C19*(POWER((1+F24),F23/2)-1),0)+ROUND(C20*(POWER((1+F24),F23/2)-1),0))</f>
        <v>45336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-1734</v>
      </c>
      <c r="K25" s="1031" t="s">
        <v>753</v>
      </c>
      <c r="L25" s="1032"/>
      <c r="M25" s="1033"/>
    </row>
    <row r="26" spans="1:37" ht="18" customHeight="1">
      <c r="A26" s="927" t="s">
        <v>397</v>
      </c>
      <c r="B26" s="294" t="s">
        <v>754</v>
      </c>
      <c r="C26" s="21">
        <f ca="1">ROUND((C19+C20)*F26,0)</f>
        <v>202999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1733586</v>
      </c>
      <c r="D29" s="1028"/>
      <c r="E29" s="1026"/>
      <c r="F29" s="1029"/>
      <c r="G29" s="1302"/>
      <c r="H29" s="325" t="s">
        <v>396</v>
      </c>
      <c r="I29" s="326" t="s">
        <v>768</v>
      </c>
      <c r="J29" s="327">
        <f ca="1">ROUND(J26/(1+F40)^F41,0)</f>
        <v>0</v>
      </c>
      <c r="K29" s="328" t="s">
        <v>769</v>
      </c>
      <c r="L29" s="329"/>
      <c r="M29" s="330">
        <f ca="1">INDIRECT("'数据-取费表'!k"&amp;$G$1)</f>
        <v>337.82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25366</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19235</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1734</v>
      </c>
      <c r="D36" s="1255" t="s">
        <v>771</v>
      </c>
      <c r="E36" s="294" t="s">
        <v>712</v>
      </c>
      <c r="F36" s="320">
        <f ca="1">INDIRECT("'数据-取费表'!Ak"&amp;$G$1)</f>
        <v>1E-3</v>
      </c>
      <c r="G36" s="1291"/>
      <c r="H36" s="2473"/>
      <c r="I36" s="1304"/>
      <c r="J36" s="1305"/>
      <c r="K36" s="2330"/>
      <c r="L36" s="2473"/>
      <c r="M36" s="2473"/>
    </row>
    <row r="37" spans="1:18" ht="18" customHeight="1">
      <c r="A37" s="927" t="s">
        <v>437</v>
      </c>
      <c r="B37" s="294" t="s">
        <v>742</v>
      </c>
      <c r="C37" s="21">
        <f ca="1">ROUND(C13*F37,0)</f>
        <v>1508</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2889</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263527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4650839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28.5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13767</v>
      </c>
      <c r="D43" s="328" t="s">
        <v>777</v>
      </c>
      <c r="E43" s="329" t="s">
        <v>778</v>
      </c>
      <c r="F43" s="330">
        <f ca="1">INDIRECT("'数据-取费表'!k"&amp;$G$1)</f>
        <v>337.82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3344</v>
      </c>
      <c r="B45" s="1306"/>
      <c r="C45" s="1375">
        <f ca="1">ROUND((C68-C40)/10000,4)</f>
        <v>-469.6968</v>
      </c>
      <c r="D45" s="3130" t="s">
        <v>3345</v>
      </c>
      <c r="E45" s="1306"/>
      <c r="F45" s="1306"/>
      <c r="O45" s="1309" t="s">
        <v>808</v>
      </c>
      <c r="P45" s="1365"/>
      <c r="Q45" s="1365"/>
      <c r="R45" s="1365"/>
    </row>
    <row r="46" spans="1:18" s="1291" customFormat="1" ht="13.5" thickBot="1">
      <c r="A46" s="1310" t="s">
        <v>809</v>
      </c>
      <c r="C46" s="1311">
        <f ca="1">ROUND(C45,0)</f>
        <v>-470</v>
      </c>
      <c r="D46" s="1312" t="str">
        <f>C2</f>
        <v>万元</v>
      </c>
      <c r="I46" s="1313" t="s">
        <v>810</v>
      </c>
      <c r="J46" s="1314"/>
      <c r="K46" s="1315"/>
      <c r="L46" s="1316">
        <f ca="1">IF(M47="住宅",0,IF(L48&gt;J51,L60,J60))</f>
        <v>88280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3390</v>
      </c>
      <c r="K47" s="1322" t="s">
        <v>816</v>
      </c>
      <c r="L47" s="1323">
        <f ca="1">INDIRECT("'数据-取费表'!d"&amp;$G$1)</f>
        <v>40</v>
      </c>
      <c r="M47" s="1287" t="str">
        <f>IF(ISNUMBER(FIND("住宅",C1)),"住宅","非住宅")</f>
        <v>非住宅</v>
      </c>
      <c r="O47" s="1324" t="s">
        <v>403</v>
      </c>
      <c r="P47" s="1325" t="s">
        <v>817</v>
      </c>
      <c r="Q47" s="1326">
        <f ca="1">C40+J29</f>
        <v>4650839</v>
      </c>
      <c r="R47" s="1326" t="s">
        <v>818</v>
      </c>
    </row>
    <row r="48" spans="1:18" s="1291" customFormat="1" ht="28.5" thickBot="1">
      <c r="A48" s="1046" t="s">
        <v>438</v>
      </c>
      <c r="B48" s="292" t="s">
        <v>692</v>
      </c>
      <c r="C48" s="1267">
        <f ca="1">C49+C53+C55</f>
        <v>0</v>
      </c>
      <c r="D48" s="1048"/>
      <c r="E48" s="1049"/>
      <c r="F48" s="907"/>
      <c r="G48" s="680"/>
      <c r="H48" s="681"/>
      <c r="I48" s="1327" t="s">
        <v>819</v>
      </c>
      <c r="J48" s="1328" t="s">
        <v>3391</v>
      </c>
      <c r="K48" s="1329" t="s">
        <v>820</v>
      </c>
      <c r="L48" s="1330">
        <f ca="1">INDIRECT("'数据-取费表'!f"&amp;$G$1)</f>
        <v>28.5</v>
      </c>
      <c r="O48" s="1324" t="s">
        <v>404</v>
      </c>
      <c r="P48" s="1325" t="s">
        <v>821</v>
      </c>
      <c r="Q48" s="1326">
        <f ca="1">J60</f>
        <v>88280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2016</v>
      </c>
      <c r="K49" s="1329" t="s">
        <v>824</v>
      </c>
      <c r="L49" s="1332"/>
      <c r="O49" s="1333" t="s">
        <v>405</v>
      </c>
      <c r="P49" s="1325" t="s">
        <v>825</v>
      </c>
      <c r="Q49" s="1326">
        <f ca="1">C29</f>
        <v>1733586</v>
      </c>
      <c r="R49" s="1326" t="s">
        <v>818</v>
      </c>
    </row>
    <row r="50" spans="1:18" s="1291" customFormat="1" ht="13.5" thickBot="1">
      <c r="A50" s="921"/>
      <c r="B50" s="924"/>
      <c r="C50" s="925"/>
      <c r="D50" s="898"/>
      <c r="E50" s="992" t="s">
        <v>697</v>
      </c>
      <c r="F50" s="993">
        <f ca="1">F7</f>
        <v>337.82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52</v>
      </c>
      <c r="K51" s="1338" t="s">
        <v>830</v>
      </c>
      <c r="L51" s="1339">
        <f ca="1">ROUND(-PV(INDIRECT("'数据-取费表'!h"&amp;$G$1),J51,(C39-C13*C76),0),0)</f>
        <v>2909164</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28.5</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28.5</v>
      </c>
      <c r="K53" s="3340" t="s">
        <v>837</v>
      </c>
      <c r="L53" s="3341"/>
      <c r="O53" s="1324" t="s">
        <v>409</v>
      </c>
      <c r="P53" s="1325" t="s">
        <v>838</v>
      </c>
      <c r="Q53" s="1326">
        <f ca="1">Q47+Q48</f>
        <v>4739119</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0.39200000000000002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1508220</v>
      </c>
      <c r="D56" s="1351"/>
      <c r="E56" s="1352"/>
      <c r="F56" s="1344"/>
      <c r="I56" s="1353" t="s">
        <v>842</v>
      </c>
      <c r="J56" s="1354" t="s">
        <v>3392</v>
      </c>
      <c r="K56" s="1327" t="s">
        <v>843</v>
      </c>
      <c r="L56" s="1330" t="str">
        <f ca="1">IF(L48&lt;J51,"——",L48-J51)</f>
        <v>——</v>
      </c>
      <c r="O56" s="1324" t="s">
        <v>403</v>
      </c>
      <c r="P56" s="1325" t="s">
        <v>817</v>
      </c>
      <c r="Q56" s="1326">
        <f ca="1">C40+J29</f>
        <v>4650839</v>
      </c>
      <c r="R56" s="1326" t="s">
        <v>818</v>
      </c>
    </row>
    <row r="57" spans="1:18" s="1291" customFormat="1" ht="24.75" thickBot="1">
      <c r="A57" s="1355"/>
      <c r="B57" s="895" t="s">
        <v>767</v>
      </c>
      <c r="C57" s="230">
        <f ca="1">C29</f>
        <v>1733586</v>
      </c>
      <c r="D57" s="1356"/>
      <c r="E57" s="1357"/>
      <c r="F57" s="1358"/>
      <c r="I57" s="1359" t="s">
        <v>844</v>
      </c>
      <c r="J57" s="1360">
        <f ca="1">IF(OR(M47="住宅",J51&lt;L48,J56="是"),"——",J51-L48)</f>
        <v>23.5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3242</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693434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88280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4650839</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1734</v>
      </c>
      <c r="D64" s="909" t="s">
        <v>791</v>
      </c>
      <c r="E64" s="895" t="s">
        <v>783</v>
      </c>
      <c r="F64" s="320">
        <f t="shared" ca="1" si="0"/>
        <v>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1508</v>
      </c>
      <c r="D65" s="909" t="s">
        <v>743</v>
      </c>
      <c r="E65" s="895" t="s">
        <v>744</v>
      </c>
      <c r="F65" s="321">
        <f t="shared" ca="1" si="0"/>
        <v>1E-3</v>
      </c>
      <c r="I65" s="1366" t="s">
        <v>867</v>
      </c>
      <c r="J65" s="610">
        <v>40</v>
      </c>
      <c r="K65" s="610">
        <v>30</v>
      </c>
      <c r="L65" s="610">
        <v>50</v>
      </c>
      <c r="M65" s="1368">
        <v>0.02</v>
      </c>
      <c r="O65" s="1324" t="s">
        <v>403</v>
      </c>
      <c r="P65" s="1325" t="s">
        <v>868</v>
      </c>
      <c r="Q65" s="1326">
        <f ca="1">C40+J29</f>
        <v>4650839</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-3242</v>
      </c>
      <c r="D67" s="908" t="s">
        <v>753</v>
      </c>
      <c r="E67" s="913"/>
      <c r="F67" s="914"/>
      <c r="O67" s="1333" t="s">
        <v>405</v>
      </c>
      <c r="P67" s="1325" t="s">
        <v>850</v>
      </c>
      <c r="Q67" s="1369">
        <f ca="1">L51</f>
        <v>2909164</v>
      </c>
      <c r="R67" s="1326" t="s">
        <v>870</v>
      </c>
    </row>
    <row r="68" spans="1:18" s="1291" customFormat="1" ht="16.5" thickBot="1">
      <c r="A68" s="892" t="s">
        <v>395</v>
      </c>
      <c r="B68" s="893" t="s">
        <v>774</v>
      </c>
      <c r="C68" s="293">
        <f ca="1">ROUND(C67*(1-((1+F70)/(1+F68))^F69)/(F68-F70),0)</f>
        <v>-46129</v>
      </c>
      <c r="D68" s="910" t="s">
        <v>758</v>
      </c>
      <c r="E68" s="895" t="s">
        <v>759</v>
      </c>
      <c r="F68" s="304">
        <f ca="1">F40</f>
        <v>5.5E-2</v>
      </c>
      <c r="O68" s="1333" t="s">
        <v>406</v>
      </c>
      <c r="P68" s="1370" t="s">
        <v>871</v>
      </c>
      <c r="Q68" s="1326">
        <f ca="1">ROUND(Q69-Q70*Q71,0)</f>
        <v>157952</v>
      </c>
      <c r="R68" s="1326" t="s">
        <v>414</v>
      </c>
    </row>
    <row r="69" spans="1:18" s="1291" customFormat="1" ht="13.5" thickBot="1">
      <c r="A69" s="896"/>
      <c r="B69" s="897"/>
      <c r="C69" s="298"/>
      <c r="D69" s="915" t="s">
        <v>762</v>
      </c>
      <c r="E69" s="895" t="s">
        <v>763</v>
      </c>
      <c r="F69" s="324">
        <f ca="1">F41</f>
        <v>28.5</v>
      </c>
      <c r="O69" s="1333" t="s">
        <v>411</v>
      </c>
      <c r="P69" s="1370" t="s">
        <v>872</v>
      </c>
      <c r="Q69" s="1326">
        <f ca="1">C39</f>
        <v>263527</v>
      </c>
      <c r="R69" s="1326" t="s">
        <v>818</v>
      </c>
    </row>
    <row r="70" spans="1:18" s="1291" customFormat="1" ht="13.5" thickBot="1">
      <c r="A70" s="899"/>
      <c r="B70" s="900"/>
      <c r="C70" s="302"/>
      <c r="D70" s="911"/>
      <c r="E70" s="895" t="s">
        <v>766</v>
      </c>
      <c r="F70" s="990"/>
      <c r="O70" s="1333" t="s">
        <v>412</v>
      </c>
      <c r="P70" s="1370" t="s">
        <v>873</v>
      </c>
      <c r="Q70" s="1326">
        <f ca="1">C13</f>
        <v>1508220</v>
      </c>
      <c r="R70" s="1326" t="s">
        <v>818</v>
      </c>
    </row>
    <row r="71" spans="1:18" s="1291" customFormat="1" ht="13.5" thickBot="1">
      <c r="A71" s="916" t="s">
        <v>396</v>
      </c>
      <c r="B71" s="917" t="s">
        <v>776</v>
      </c>
      <c r="C71" s="327">
        <f ca="1">ROUND(C68/F71,0)</f>
        <v>-137</v>
      </c>
      <c r="D71" s="918" t="s">
        <v>777</v>
      </c>
      <c r="E71" s="919" t="s">
        <v>778</v>
      </c>
      <c r="F71" s="330">
        <f ca="1">F43</f>
        <v>337.82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105575</v>
      </c>
      <c r="D75" s="1291"/>
      <c r="E75" s="1291"/>
      <c r="F75" s="1291"/>
      <c r="K75" s="1308"/>
      <c r="L75" s="1291"/>
      <c r="O75" s="1324" t="s">
        <v>409</v>
      </c>
      <c r="P75" s="1325" t="s">
        <v>838</v>
      </c>
      <c r="Q75" s="1326">
        <f ca="1">Q65+Q66</f>
        <v>4650839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0.59899999999999998</v>
      </c>
    </row>
    <row r="80" spans="1:18">
      <c r="B80" s="331" t="s">
        <v>800</v>
      </c>
      <c r="C80" s="266">
        <f ca="1">ROUND(C75/C39,3)</f>
        <v>0.40100000000000002</v>
      </c>
    </row>
    <row r="81" spans="2:3">
      <c r="B81" s="262" t="s">
        <v>801</v>
      </c>
      <c r="C81" s="230"/>
    </row>
    <row r="82" spans="2:3">
      <c r="B82" s="265" t="s">
        <v>802</v>
      </c>
      <c r="C82" s="267">
        <f ca="1">1-C83</f>
        <v>0.67599999999999993</v>
      </c>
    </row>
    <row r="83" spans="2:3">
      <c r="B83" s="265" t="s">
        <v>803</v>
      </c>
      <c r="C83" s="266">
        <f ca="1">ROUND(C13/C40,3)</f>
        <v>0.32400000000000001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BD6BB-8CAD-4D71-AC43-0A0EFD928966}">
  <dimension ref="A1"/>
  <sheetViews>
    <sheetView topLeftCell="A64" zoomScale="85" zoomScaleNormal="85" workbookViewId="0">
      <selection activeCell="I101" sqref="I101"/>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估价对象为北京市房地产，为所有。根据《国有土地使用证》[]，估价对象（分摊）出让国有建设用地使用权面积为0平方米，建筑面积为1069.99平方米。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估价对象为北京市房地产,属开发建设的，该项目尚在开发建设中。根据《国有土地使用证》[]，估价对象（分摊）出让国有建设用地使用权面积为0平方米，规划建筑面积为1069.99平方米。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1069.99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4" t="s">
        <v>1770</v>
      </c>
      <c r="D4" s="3385"/>
      <c r="E4" s="3386" t="s">
        <v>1771</v>
      </c>
      <c r="F4" s="3387"/>
      <c r="G4" s="3384" t="s">
        <v>1772</v>
      </c>
      <c r="H4" s="3385"/>
      <c r="I4" s="3384" t="s">
        <v>1773</v>
      </c>
      <c r="J4" s="3385"/>
      <c r="K4" s="537" t="s">
        <v>1774</v>
      </c>
      <c r="L4" s="859"/>
      <c r="M4" s="860"/>
      <c r="N4" s="860"/>
      <c r="O4" s="860"/>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859"/>
      <c r="M5" s="860"/>
      <c r="N5" s="860"/>
      <c r="O5" s="860"/>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859"/>
      <c r="M6" s="860"/>
      <c r="N6" s="860"/>
      <c r="O6" s="860"/>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SUMIF(52:52,YEAR(E7)&amp;"-"&amp;MONTH(E7),53:53)</f>
        <v>0</v>
      </c>
      <c r="G7" s="356"/>
      <c r="H7" s="355">
        <f>SUMIF(52:52,YEAR(G7)&amp;"-"&amp;MONTH(G7),53:53)</f>
        <v>0</v>
      </c>
      <c r="I7" s="356"/>
      <c r="J7" s="355">
        <f>SUMIF(52:52,YEAR(I7)&amp;"-"&amp;MONTH(I7),53:53)</f>
        <v>0</v>
      </c>
      <c r="K7" s="38"/>
      <c r="L7" s="861"/>
      <c r="M7" s="862"/>
      <c r="N7" s="862"/>
      <c r="O7" s="862"/>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9" t="s">
        <v>1683</v>
      </c>
      <c r="Q8" s="3370"/>
      <c r="R8" s="663" t="s">
        <v>14</v>
      </c>
      <c r="S8" s="664">
        <f t="shared" si="0"/>
        <v>100</v>
      </c>
      <c r="T8" s="663" t="s">
        <v>14</v>
      </c>
      <c r="U8" s="664">
        <f t="shared" si="1"/>
        <v>100</v>
      </c>
      <c r="V8" s="663" t="s">
        <v>14</v>
      </c>
      <c r="W8" s="664">
        <f t="shared" si="2"/>
        <v>100</v>
      </c>
      <c r="X8" s="665"/>
      <c r="Y8" s="3369" t="s">
        <v>1683</v>
      </c>
      <c r="Z8" s="337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1" t="s">
        <v>1686</v>
      </c>
      <c r="Q9" s="530" t="str">
        <f t="shared" ref="Q9:Q15" si="6">B9</f>
        <v>用途</v>
      </c>
      <c r="R9" s="663" t="s">
        <v>14</v>
      </c>
      <c r="S9" s="664">
        <f t="shared" si="0"/>
        <v>100</v>
      </c>
      <c r="T9" s="663" t="s">
        <v>14</v>
      </c>
      <c r="U9" s="664">
        <f t="shared" si="1"/>
        <v>100</v>
      </c>
      <c r="V9" s="663" t="s">
        <v>14</v>
      </c>
      <c r="W9" s="664">
        <f t="shared" si="2"/>
        <v>100</v>
      </c>
      <c r="X9" s="665"/>
      <c r="Y9" s="331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1"/>
      <c r="Q11" s="530" t="str">
        <f t="shared" si="6"/>
        <v>容积率</v>
      </c>
      <c r="R11" s="663" t="s">
        <v>14</v>
      </c>
      <c r="S11" s="664">
        <f t="shared" si="0"/>
        <v>100</v>
      </c>
      <c r="T11" s="663" t="s">
        <v>14</v>
      </c>
      <c r="U11" s="664">
        <f t="shared" si="1"/>
        <v>100</v>
      </c>
      <c r="V11" s="663" t="s">
        <v>14</v>
      </c>
      <c r="W11" s="664">
        <f t="shared" si="2"/>
        <v>100</v>
      </c>
      <c r="X11" s="665"/>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3"/>
      <c r="Q16" s="1262"/>
      <c r="R16" s="666"/>
      <c r="S16" s="667"/>
      <c r="T16" s="666"/>
      <c r="U16" s="667"/>
      <c r="V16" s="666"/>
      <c r="W16" s="667"/>
      <c r="X16" s="1264"/>
      <c r="Y16" s="3403"/>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3"/>
      <c r="Q18" s="1262"/>
      <c r="R18" s="666"/>
      <c r="S18" s="667"/>
      <c r="T18" s="666"/>
      <c r="U18" s="667"/>
      <c r="V18" s="666"/>
      <c r="W18" s="667"/>
      <c r="X18" s="1264"/>
      <c r="Y18" s="3403"/>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3"/>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3"/>
      <c r="Q20" s="1262"/>
      <c r="R20" s="666"/>
      <c r="S20" s="667"/>
      <c r="T20" s="666"/>
      <c r="U20" s="667"/>
      <c r="V20" s="666"/>
      <c r="W20" s="667"/>
      <c r="X20" s="1264"/>
      <c r="Y20" s="3403"/>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3"/>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03"/>
      <c r="Q22" s="1262"/>
      <c r="R22" s="666"/>
      <c r="S22" s="667"/>
      <c r="T22" s="666"/>
      <c r="U22" s="667"/>
      <c r="V22" s="666"/>
      <c r="W22" s="667"/>
      <c r="X22" s="1264"/>
      <c r="Y22" s="3403"/>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3"/>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03"/>
      <c r="Q24" s="1262"/>
      <c r="R24" s="666"/>
      <c r="S24" s="667"/>
      <c r="T24" s="666"/>
      <c r="U24" s="667"/>
      <c r="V24" s="666"/>
      <c r="W24" s="667"/>
      <c r="X24" s="1264"/>
      <c r="Y24" s="340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3"/>
      <c r="Q25" s="1262">
        <f>B25</f>
        <v>111</v>
      </c>
      <c r="R25" s="666" t="s">
        <v>14</v>
      </c>
      <c r="S25" s="667">
        <f>F25</f>
        <v>100</v>
      </c>
      <c r="T25" s="666" t="s">
        <v>14</v>
      </c>
      <c r="U25" s="667">
        <f>H25</f>
        <v>100</v>
      </c>
      <c r="V25" s="666" t="s">
        <v>14</v>
      </c>
      <c r="W25" s="667">
        <f>J25</f>
        <v>100</v>
      </c>
      <c r="X25" s="1264"/>
      <c r="Y25" s="340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3"/>
      <c r="Q26" s="1262">
        <f t="shared" ref="Q26:Q40" si="11">B26</f>
        <v>111</v>
      </c>
      <c r="R26" s="666" t="s">
        <v>14</v>
      </c>
      <c r="S26" s="667">
        <f>F26</f>
        <v>100</v>
      </c>
      <c r="T26" s="666" t="s">
        <v>14</v>
      </c>
      <c r="U26" s="667">
        <f>H26</f>
        <v>100</v>
      </c>
      <c r="V26" s="666" t="s">
        <v>14</v>
      </c>
      <c r="W26" s="667">
        <f>J26</f>
        <v>100</v>
      </c>
      <c r="X26" s="1264"/>
      <c r="Y26" s="340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3"/>
      <c r="Q27" s="530">
        <f t="shared" si="11"/>
        <v>111</v>
      </c>
      <c r="R27" s="663" t="s">
        <v>14</v>
      </c>
      <c r="S27" s="664">
        <f>F27</f>
        <v>100</v>
      </c>
      <c r="T27" s="663" t="s">
        <v>14</v>
      </c>
      <c r="U27" s="664">
        <f>H27</f>
        <v>100</v>
      </c>
      <c r="V27" s="663" t="s">
        <v>14</v>
      </c>
      <c r="W27" s="664">
        <f>J27</f>
        <v>100</v>
      </c>
      <c r="X27" s="665"/>
      <c r="Y27" s="340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3"/>
      <c r="Q28" s="1262">
        <f t="shared" si="11"/>
        <v>111</v>
      </c>
      <c r="R28" s="666" t="s">
        <v>14</v>
      </c>
      <c r="S28" s="667">
        <f t="shared" ref="S28:S40" si="12">F28</f>
        <v>100</v>
      </c>
      <c r="T28" s="666" t="s">
        <v>14</v>
      </c>
      <c r="U28" s="667">
        <f t="shared" ref="U28:U40" si="13">H28</f>
        <v>100</v>
      </c>
      <c r="V28" s="666" t="s">
        <v>14</v>
      </c>
      <c r="W28" s="667">
        <f t="shared" ref="W28:W40" si="14">J28</f>
        <v>100</v>
      </c>
      <c r="X28" s="1264"/>
      <c r="Y28" s="340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8" t="s">
        <v>1696</v>
      </c>
      <c r="Q29" s="1262" t="str">
        <f t="shared" si="11"/>
        <v>建筑类型</v>
      </c>
      <c r="R29" s="666" t="s">
        <v>14</v>
      </c>
      <c r="S29" s="667">
        <f t="shared" si="12"/>
        <v>100</v>
      </c>
      <c r="T29" s="666" t="s">
        <v>14</v>
      </c>
      <c r="U29" s="667">
        <f t="shared" si="13"/>
        <v>100</v>
      </c>
      <c r="V29" s="666" t="s">
        <v>14</v>
      </c>
      <c r="W29" s="667">
        <f t="shared" si="14"/>
        <v>100</v>
      </c>
      <c r="X29" s="1264"/>
      <c r="Y29" s="340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7"/>
      <c r="Q30" s="531"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7"/>
      <c r="Q31" s="1262" t="str">
        <f t="shared" si="11"/>
        <v>建筑结构</v>
      </c>
      <c r="R31" s="666" t="s">
        <v>14</v>
      </c>
      <c r="S31" s="667">
        <f t="shared" si="12"/>
        <v>100</v>
      </c>
      <c r="T31" s="666" t="s">
        <v>14</v>
      </c>
      <c r="U31" s="667">
        <f t="shared" si="13"/>
        <v>100</v>
      </c>
      <c r="V31" s="666" t="s">
        <v>14</v>
      </c>
      <c r="W31" s="667">
        <f t="shared" si="14"/>
        <v>100</v>
      </c>
      <c r="X31" s="1264"/>
      <c r="Y31" s="340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7"/>
      <c r="Q32" s="1262" t="str">
        <f t="shared" si="11"/>
        <v>公共部分装修</v>
      </c>
      <c r="R32" s="666" t="s">
        <v>14</v>
      </c>
      <c r="S32" s="667">
        <f t="shared" si="12"/>
        <v>100</v>
      </c>
      <c r="T32" s="666" t="s">
        <v>14</v>
      </c>
      <c r="U32" s="667">
        <f t="shared" si="13"/>
        <v>100</v>
      </c>
      <c r="V32" s="666" t="s">
        <v>14</v>
      </c>
      <c r="W32" s="667">
        <f t="shared" si="14"/>
        <v>100</v>
      </c>
      <c r="X32" s="1264"/>
      <c r="Y32" s="340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7"/>
      <c r="Q33" s="1262" t="str">
        <f t="shared" si="11"/>
        <v>成新度</v>
      </c>
      <c r="R33" s="666" t="s">
        <v>14</v>
      </c>
      <c r="S33" s="667" t="e">
        <f t="shared" si="12"/>
        <v>#N/A</v>
      </c>
      <c r="T33" s="666" t="s">
        <v>14</v>
      </c>
      <c r="U33" s="667" t="e">
        <f t="shared" si="13"/>
        <v>#N/A</v>
      </c>
      <c r="V33" s="666" t="s">
        <v>14</v>
      </c>
      <c r="W33" s="667" t="e">
        <f t="shared" si="14"/>
        <v>#N/A</v>
      </c>
      <c r="X33" s="1264"/>
      <c r="Y33" s="340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7"/>
      <c r="Q34" s="530"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7" t="s">
        <v>1696</v>
      </c>
      <c r="Q35" s="1262" t="str">
        <f t="shared" si="11"/>
        <v>市政基础设施</v>
      </c>
      <c r="R35" s="666" t="s">
        <v>14</v>
      </c>
      <c r="S35" s="667">
        <f t="shared" si="12"/>
        <v>100</v>
      </c>
      <c r="T35" s="666" t="s">
        <v>14</v>
      </c>
      <c r="U35" s="667">
        <f t="shared" si="13"/>
        <v>100</v>
      </c>
      <c r="V35" s="666" t="s">
        <v>14</v>
      </c>
      <c r="W35" s="667">
        <f t="shared" si="14"/>
        <v>100</v>
      </c>
      <c r="X35" s="1264"/>
      <c r="Y35" s="340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7"/>
      <c r="Q36" s="1262" t="str">
        <f t="shared" si="11"/>
        <v>内部装修</v>
      </c>
      <c r="R36" s="666" t="s">
        <v>14</v>
      </c>
      <c r="S36" s="667">
        <f t="shared" si="12"/>
        <v>100</v>
      </c>
      <c r="T36" s="666" t="s">
        <v>14</v>
      </c>
      <c r="U36" s="667">
        <f t="shared" si="13"/>
        <v>100</v>
      </c>
      <c r="V36" s="666" t="s">
        <v>14</v>
      </c>
      <c r="W36" s="667">
        <f t="shared" si="14"/>
        <v>100</v>
      </c>
      <c r="X36" s="1264"/>
      <c r="Y36" s="340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7"/>
      <c r="Q37" s="1262" t="str">
        <f t="shared" si="11"/>
        <v>内部装修状况</v>
      </c>
      <c r="R37" s="666" t="s">
        <v>14</v>
      </c>
      <c r="S37" s="667">
        <f t="shared" si="12"/>
        <v>100</v>
      </c>
      <c r="T37" s="666" t="s">
        <v>14</v>
      </c>
      <c r="U37" s="667">
        <f t="shared" si="13"/>
        <v>100</v>
      </c>
      <c r="V37" s="666" t="s">
        <v>14</v>
      </c>
      <c r="W37" s="667">
        <f t="shared" si="14"/>
        <v>100</v>
      </c>
      <c r="X37" s="1264"/>
      <c r="Y37" s="340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7"/>
      <c r="Q38" s="531">
        <f t="shared" si="11"/>
        <v>111</v>
      </c>
      <c r="R38" s="668" t="s">
        <v>14</v>
      </c>
      <c r="S38" s="669">
        <f t="shared" si="12"/>
        <v>100</v>
      </c>
      <c r="T38" s="668" t="s">
        <v>14</v>
      </c>
      <c r="U38" s="669">
        <f t="shared" si="13"/>
        <v>100</v>
      </c>
      <c r="V38" s="668" t="s">
        <v>14</v>
      </c>
      <c r="W38" s="669">
        <f t="shared" si="14"/>
        <v>100</v>
      </c>
      <c r="X38" s="670"/>
      <c r="Y38" s="3407"/>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7"/>
      <c r="Q39" s="1262">
        <f t="shared" si="11"/>
        <v>111</v>
      </c>
      <c r="R39" s="666" t="s">
        <v>14</v>
      </c>
      <c r="S39" s="667">
        <f t="shared" si="12"/>
        <v>100</v>
      </c>
      <c r="T39" s="666" t="s">
        <v>14</v>
      </c>
      <c r="U39" s="667">
        <f t="shared" si="13"/>
        <v>100</v>
      </c>
      <c r="V39" s="666" t="s">
        <v>14</v>
      </c>
      <c r="W39" s="667">
        <f t="shared" si="14"/>
        <v>100</v>
      </c>
      <c r="X39" s="1264"/>
      <c r="Y39" s="340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8"/>
      <c r="Q40" s="1262">
        <f t="shared" si="11"/>
        <v>111</v>
      </c>
      <c r="R40" s="666" t="s">
        <v>14</v>
      </c>
      <c r="S40" s="667">
        <f t="shared" si="12"/>
        <v>100</v>
      </c>
      <c r="T40" s="666" t="s">
        <v>14</v>
      </c>
      <c r="U40" s="667">
        <f t="shared" si="13"/>
        <v>100</v>
      </c>
      <c r="V40" s="666" t="s">
        <v>14</v>
      </c>
      <c r="W40" s="667">
        <f t="shared" si="14"/>
        <v>100</v>
      </c>
      <c r="X40" s="1264"/>
      <c r="Y40" s="340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1" t="str">
        <f>A41</f>
        <v>成交单价（元/平方米）</v>
      </c>
      <c r="Q41" s="3401"/>
      <c r="R41" s="3396">
        <f>E41</f>
        <v>0</v>
      </c>
      <c r="S41" s="3396"/>
      <c r="T41" s="3396">
        <f>G41</f>
        <v>0</v>
      </c>
      <c r="U41" s="3396"/>
      <c r="V41" s="3396">
        <f>I41</f>
        <v>0</v>
      </c>
      <c r="W41" s="3396"/>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9" t="s">
        <v>1680</v>
      </c>
      <c r="Q7" s="3397"/>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9" t="s">
        <v>1683</v>
      </c>
      <c r="Q8" s="3370"/>
      <c r="R8" s="663" t="s">
        <v>14</v>
      </c>
      <c r="S8" s="664">
        <f t="shared" si="0"/>
        <v>100</v>
      </c>
      <c r="T8" s="663" t="s">
        <v>14</v>
      </c>
      <c r="U8" s="664">
        <f t="shared" si="1"/>
        <v>100</v>
      </c>
      <c r="V8" s="663" t="s">
        <v>14</v>
      </c>
      <c r="W8" s="664">
        <f t="shared" si="2"/>
        <v>100</v>
      </c>
      <c r="X8" s="665"/>
      <c r="Y8" s="3369" t="s">
        <v>1683</v>
      </c>
      <c r="Z8" s="337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1" t="s">
        <v>1686</v>
      </c>
      <c r="Q9" s="530" t="str">
        <f t="shared" ref="Q9:Q14" si="6">B9</f>
        <v>用途</v>
      </c>
      <c r="R9" s="663" t="s">
        <v>14</v>
      </c>
      <c r="S9" s="664">
        <f t="shared" si="0"/>
        <v>100</v>
      </c>
      <c r="T9" s="663" t="s">
        <v>14</v>
      </c>
      <c r="U9" s="664">
        <f t="shared" si="1"/>
        <v>100</v>
      </c>
      <c r="V9" s="663" t="s">
        <v>14</v>
      </c>
      <c r="W9" s="664">
        <f t="shared" si="2"/>
        <v>100</v>
      </c>
      <c r="X9" s="665"/>
      <c r="Y9" s="331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1"/>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3"/>
      <c r="Q15" s="1262"/>
      <c r="R15" s="666"/>
      <c r="S15" s="667"/>
      <c r="T15" s="666"/>
      <c r="U15" s="667"/>
      <c r="V15" s="666"/>
      <c r="W15" s="667"/>
      <c r="X15" s="1264"/>
      <c r="Y15" s="3403"/>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3"/>
      <c r="Q17" s="1262"/>
      <c r="R17" s="666"/>
      <c r="S17" s="667"/>
      <c r="T17" s="666"/>
      <c r="U17" s="667"/>
      <c r="V17" s="666"/>
      <c r="W17" s="667"/>
      <c r="X17" s="1264"/>
      <c r="Y17" s="3403"/>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3"/>
      <c r="Q19" s="1262"/>
      <c r="R19" s="666"/>
      <c r="S19" s="667"/>
      <c r="T19" s="666"/>
      <c r="U19" s="667"/>
      <c r="V19" s="666"/>
      <c r="W19" s="667"/>
      <c r="X19" s="1264"/>
      <c r="Y19" s="3403"/>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3"/>
      <c r="Q21" s="1262"/>
      <c r="R21" s="666"/>
      <c r="S21" s="667"/>
      <c r="T21" s="666"/>
      <c r="U21" s="667"/>
      <c r="V21" s="666"/>
      <c r="W21" s="667"/>
      <c r="X21" s="1264"/>
      <c r="Y21" s="340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3"/>
      <c r="Q24" s="1262">
        <f t="shared" ref="Q24:Q36"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3"/>
      <c r="Q25" s="530">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7"/>
      <c r="Q27" s="531"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7"/>
      <c r="Q28" s="1262" t="str">
        <f t="shared" si="11"/>
        <v>公共部分装修</v>
      </c>
      <c r="R28" s="666" t="s">
        <v>14</v>
      </c>
      <c r="S28" s="667">
        <f t="shared" si="12"/>
        <v>100</v>
      </c>
      <c r="T28" s="666" t="s">
        <v>14</v>
      </c>
      <c r="U28" s="667">
        <f t="shared" si="13"/>
        <v>100</v>
      </c>
      <c r="V28" s="666" t="s">
        <v>14</v>
      </c>
      <c r="W28" s="667">
        <f t="shared" si="14"/>
        <v>100</v>
      </c>
      <c r="X28" s="1264"/>
      <c r="Y28" s="340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7"/>
      <c r="Q29" s="1262" t="str">
        <f t="shared" si="11"/>
        <v>成新率</v>
      </c>
      <c r="R29" s="666" t="s">
        <v>14</v>
      </c>
      <c r="S29" s="667" t="e">
        <f t="shared" si="12"/>
        <v>#N/A</v>
      </c>
      <c r="T29" s="666" t="s">
        <v>14</v>
      </c>
      <c r="U29" s="667" t="e">
        <f t="shared" si="13"/>
        <v>#N/A</v>
      </c>
      <c r="V29" s="666" t="s">
        <v>14</v>
      </c>
      <c r="W29" s="667" t="e">
        <f t="shared" si="14"/>
        <v>#N/A</v>
      </c>
      <c r="X29" s="1264"/>
      <c r="Y29" s="340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7"/>
      <c r="Q30" s="1262" t="str">
        <f t="shared" si="11"/>
        <v>物业等级</v>
      </c>
      <c r="R30" s="666" t="s">
        <v>14</v>
      </c>
      <c r="S30" s="667">
        <f t="shared" si="12"/>
        <v>100</v>
      </c>
      <c r="T30" s="666" t="s">
        <v>14</v>
      </c>
      <c r="U30" s="667">
        <f t="shared" si="13"/>
        <v>100</v>
      </c>
      <c r="V30" s="666" t="s">
        <v>14</v>
      </c>
      <c r="W30" s="667">
        <f t="shared" si="14"/>
        <v>100</v>
      </c>
      <c r="X30" s="1264"/>
      <c r="Y30" s="340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7"/>
      <c r="Q31" s="530"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7" t="s">
        <v>1696</v>
      </c>
      <c r="Q32" s="1262" t="str">
        <f t="shared" si="11"/>
        <v>车位类型</v>
      </c>
      <c r="R32" s="666" t="s">
        <v>14</v>
      </c>
      <c r="S32" s="667">
        <f t="shared" si="12"/>
        <v>100</v>
      </c>
      <c r="T32" s="666" t="s">
        <v>14</v>
      </c>
      <c r="U32" s="667">
        <f t="shared" si="13"/>
        <v>100</v>
      </c>
      <c r="V32" s="666" t="s">
        <v>14</v>
      </c>
      <c r="W32" s="667">
        <f t="shared" si="14"/>
        <v>100</v>
      </c>
      <c r="X32" s="1264"/>
      <c r="Y32" s="340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7"/>
      <c r="Q33" s="1262" t="str">
        <f t="shared" si="11"/>
        <v>是否直接入户</v>
      </c>
      <c r="R33" s="666" t="s">
        <v>14</v>
      </c>
      <c r="S33" s="667">
        <f t="shared" si="12"/>
        <v>100</v>
      </c>
      <c r="T33" s="666" t="s">
        <v>14</v>
      </c>
      <c r="U33" s="667">
        <f t="shared" si="13"/>
        <v>100</v>
      </c>
      <c r="V33" s="666" t="s">
        <v>14</v>
      </c>
      <c r="W33" s="667">
        <f t="shared" si="14"/>
        <v>100</v>
      </c>
      <c r="X33" s="1264"/>
      <c r="Y33" s="340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7"/>
      <c r="Q35" s="531">
        <f t="shared" si="11"/>
        <v>111</v>
      </c>
      <c r="R35" s="668" t="s">
        <v>14</v>
      </c>
      <c r="S35" s="669">
        <f t="shared" si="12"/>
        <v>100</v>
      </c>
      <c r="T35" s="668" t="s">
        <v>14</v>
      </c>
      <c r="U35" s="669">
        <f t="shared" si="13"/>
        <v>100</v>
      </c>
      <c r="V35" s="668" t="s">
        <v>14</v>
      </c>
      <c r="W35" s="669">
        <f t="shared" si="14"/>
        <v>100</v>
      </c>
      <c r="X35" s="670"/>
      <c r="Y35" s="3407"/>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7"/>
      <c r="Q36" s="1262">
        <f t="shared" si="11"/>
        <v>111</v>
      </c>
      <c r="R36" s="666" t="s">
        <v>14</v>
      </c>
      <c r="S36" s="667">
        <f t="shared" si="12"/>
        <v>100</v>
      </c>
      <c r="T36" s="666" t="s">
        <v>14</v>
      </c>
      <c r="U36" s="667">
        <f t="shared" si="13"/>
        <v>100</v>
      </c>
      <c r="V36" s="666" t="s">
        <v>14</v>
      </c>
      <c r="W36" s="667">
        <f t="shared" si="14"/>
        <v>100</v>
      </c>
      <c r="X36" s="1264"/>
      <c r="Y36" s="3407"/>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4"/>
      <c r="M37" s="2487"/>
      <c r="N37" s="2487"/>
      <c r="O37" s="2487"/>
      <c r="P37" s="3401" t="str">
        <f>A37</f>
        <v>成交单价</v>
      </c>
      <c r="Q37" s="3401"/>
      <c r="R37" s="3396">
        <f>E37</f>
        <v>0</v>
      </c>
      <c r="S37" s="3396"/>
      <c r="T37" s="3396">
        <f>G37</f>
        <v>0</v>
      </c>
      <c r="U37" s="3396"/>
      <c r="V37" s="3396">
        <f>I37</f>
        <v>0</v>
      </c>
      <c r="W37" s="3396"/>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98" t="str">
        <f>A39</f>
        <v>估价对象XX用房的比较价值（楼面单价，元/平方米）</v>
      </c>
      <c r="Q39" s="3399"/>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9" t="s">
        <v>1680</v>
      </c>
      <c r="Q7" s="3397"/>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9" t="s">
        <v>1683</v>
      </c>
      <c r="Q8" s="3370"/>
      <c r="R8" s="663" t="s">
        <v>14</v>
      </c>
      <c r="S8" s="664">
        <f t="shared" si="0"/>
        <v>100</v>
      </c>
      <c r="T8" s="663" t="s">
        <v>14</v>
      </c>
      <c r="U8" s="664">
        <f t="shared" si="1"/>
        <v>100</v>
      </c>
      <c r="V8" s="663" t="s">
        <v>14</v>
      </c>
      <c r="W8" s="664">
        <f t="shared" si="2"/>
        <v>100</v>
      </c>
      <c r="X8" s="665"/>
      <c r="Y8" s="3369" t="s">
        <v>1683</v>
      </c>
      <c r="Z8" s="337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1" t="s">
        <v>1686</v>
      </c>
      <c r="Q9" s="530" t="str">
        <f t="shared" ref="Q9:Q14" si="6">B9</f>
        <v>用途</v>
      </c>
      <c r="R9" s="663" t="s">
        <v>14</v>
      </c>
      <c r="S9" s="664">
        <f t="shared" si="0"/>
        <v>100</v>
      </c>
      <c r="T9" s="663" t="s">
        <v>14</v>
      </c>
      <c r="U9" s="664">
        <f t="shared" si="1"/>
        <v>100</v>
      </c>
      <c r="V9" s="663" t="s">
        <v>14</v>
      </c>
      <c r="W9" s="664">
        <f t="shared" si="2"/>
        <v>100</v>
      </c>
      <c r="X9" s="665"/>
      <c r="Y9" s="331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1"/>
      <c r="Q10" s="530" t="str">
        <f t="shared" si="6"/>
        <v>土地使用年限（年）</v>
      </c>
      <c r="R10" s="663" t="s">
        <v>14</v>
      </c>
      <c r="S10" s="664">
        <f t="shared" si="0"/>
        <v>100</v>
      </c>
      <c r="T10" s="663" t="s">
        <v>14</v>
      </c>
      <c r="U10" s="664">
        <f t="shared" si="1"/>
        <v>100</v>
      </c>
      <c r="V10" s="663" t="s">
        <v>14</v>
      </c>
      <c r="W10" s="664">
        <f t="shared" si="2"/>
        <v>100</v>
      </c>
      <c r="X10" s="665"/>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1"/>
      <c r="Q11" s="530">
        <f t="shared" si="6"/>
        <v>111</v>
      </c>
      <c r="R11" s="663" t="s">
        <v>14</v>
      </c>
      <c r="S11" s="664">
        <f t="shared" si="0"/>
        <v>100</v>
      </c>
      <c r="T11" s="663" t="s">
        <v>14</v>
      </c>
      <c r="U11" s="664">
        <f t="shared" si="1"/>
        <v>100</v>
      </c>
      <c r="V11" s="663" t="s">
        <v>14</v>
      </c>
      <c r="W11" s="664">
        <f t="shared" si="2"/>
        <v>100</v>
      </c>
      <c r="X11" s="665"/>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3"/>
      <c r="Q15" s="1262"/>
      <c r="R15" s="666"/>
      <c r="S15" s="667"/>
      <c r="T15" s="666"/>
      <c r="U15" s="667"/>
      <c r="V15" s="666"/>
      <c r="W15" s="667"/>
      <c r="X15" s="1264"/>
      <c r="Y15" s="3403"/>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3"/>
      <c r="Q17" s="1262"/>
      <c r="R17" s="666"/>
      <c r="S17" s="667"/>
      <c r="T17" s="666"/>
      <c r="U17" s="667"/>
      <c r="V17" s="666"/>
      <c r="W17" s="667"/>
      <c r="X17" s="1264"/>
      <c r="Y17" s="3403"/>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3"/>
      <c r="Q19" s="1262"/>
      <c r="R19" s="666"/>
      <c r="S19" s="667"/>
      <c r="T19" s="666"/>
      <c r="U19" s="667"/>
      <c r="V19" s="666"/>
      <c r="W19" s="667"/>
      <c r="X19" s="1264"/>
      <c r="Y19" s="3403"/>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3"/>
      <c r="Q21" s="1262"/>
      <c r="R21" s="666"/>
      <c r="S21" s="667"/>
      <c r="T21" s="666"/>
      <c r="U21" s="667"/>
      <c r="V21" s="666"/>
      <c r="W21" s="667"/>
      <c r="X21" s="1264"/>
      <c r="Y21" s="340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3"/>
      <c r="Q24" s="1262">
        <f t="shared" ref="Q24:Q34"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3"/>
      <c r="Q25" s="530">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7"/>
      <c r="Q27" s="531"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7"/>
      <c r="Q28" s="1262" t="str">
        <f t="shared" si="11"/>
        <v>物业等级</v>
      </c>
      <c r="R28" s="666" t="s">
        <v>14</v>
      </c>
      <c r="S28" s="667">
        <f t="shared" si="12"/>
        <v>100</v>
      </c>
      <c r="T28" s="666" t="s">
        <v>14</v>
      </c>
      <c r="U28" s="667">
        <f t="shared" si="13"/>
        <v>100</v>
      </c>
      <c r="V28" s="666" t="s">
        <v>14</v>
      </c>
      <c r="W28" s="667">
        <f t="shared" si="14"/>
        <v>100</v>
      </c>
      <c r="X28" s="1264"/>
      <c r="Y28" s="340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7"/>
      <c r="Q29" s="1262" t="str">
        <f t="shared" si="11"/>
        <v>有无电梯</v>
      </c>
      <c r="R29" s="666" t="s">
        <v>14</v>
      </c>
      <c r="S29" s="667">
        <f t="shared" si="12"/>
        <v>100</v>
      </c>
      <c r="T29" s="666" t="s">
        <v>14</v>
      </c>
      <c r="U29" s="667">
        <f t="shared" si="13"/>
        <v>100</v>
      </c>
      <c r="V29" s="666" t="s">
        <v>14</v>
      </c>
      <c r="W29" s="667">
        <f t="shared" si="14"/>
        <v>100</v>
      </c>
      <c r="X29" s="1264"/>
      <c r="Y29" s="340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7"/>
      <c r="Q30" s="1262" t="str">
        <f t="shared" si="11"/>
        <v>建筑面积</v>
      </c>
      <c r="R30" s="666" t="s">
        <v>14</v>
      </c>
      <c r="S30" s="667" t="e">
        <f t="shared" si="12"/>
        <v>#N/A</v>
      </c>
      <c r="T30" s="666" t="s">
        <v>14</v>
      </c>
      <c r="U30" s="667" t="e">
        <f t="shared" si="13"/>
        <v>#N/A</v>
      </c>
      <c r="V30" s="666" t="s">
        <v>14</v>
      </c>
      <c r="W30" s="667" t="e">
        <f t="shared" si="14"/>
        <v>#N/A</v>
      </c>
      <c r="X30" s="1264"/>
      <c r="Y30" s="340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7"/>
      <c r="Q31" s="530"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7" t="s">
        <v>1696</v>
      </c>
      <c r="Q32" s="1262">
        <f t="shared" si="11"/>
        <v>111</v>
      </c>
      <c r="R32" s="666" t="s">
        <v>14</v>
      </c>
      <c r="S32" s="667">
        <f t="shared" si="12"/>
        <v>100</v>
      </c>
      <c r="T32" s="666" t="s">
        <v>14</v>
      </c>
      <c r="U32" s="667">
        <f t="shared" si="13"/>
        <v>100</v>
      </c>
      <c r="V32" s="666" t="s">
        <v>14</v>
      </c>
      <c r="W32" s="667">
        <f t="shared" si="14"/>
        <v>100</v>
      </c>
      <c r="X32" s="1264"/>
      <c r="Y32" s="340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7"/>
      <c r="Q33" s="1262">
        <f t="shared" si="11"/>
        <v>111</v>
      </c>
      <c r="R33" s="666" t="s">
        <v>14</v>
      </c>
      <c r="S33" s="667">
        <f t="shared" si="12"/>
        <v>100</v>
      </c>
      <c r="T33" s="666" t="s">
        <v>14</v>
      </c>
      <c r="U33" s="667">
        <f t="shared" si="13"/>
        <v>100</v>
      </c>
      <c r="V33" s="666" t="s">
        <v>14</v>
      </c>
      <c r="W33" s="667">
        <f t="shared" si="14"/>
        <v>100</v>
      </c>
      <c r="X33" s="1264"/>
      <c r="Y33" s="340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01" t="str">
        <f>A35</f>
        <v>成交单价（元/平方米）</v>
      </c>
      <c r="Q35" s="3401"/>
      <c r="R35" s="3396">
        <f>E35</f>
        <v>0</v>
      </c>
      <c r="S35" s="3396"/>
      <c r="T35" s="3396">
        <f>G35</f>
        <v>0</v>
      </c>
      <c r="U35" s="3396"/>
      <c r="V35" s="3396">
        <f>I35</f>
        <v>0</v>
      </c>
      <c r="W35" s="3396"/>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98" t="str">
        <f>A37</f>
        <v>估价对象XX用房的比较价值（楼面单价，元/平方米）</v>
      </c>
      <c r="Q37" s="3399"/>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379" t="s">
        <v>1677</v>
      </c>
      <c r="D6" s="3380"/>
      <c r="E6" s="3381" t="s">
        <v>1677</v>
      </c>
      <c r="F6" s="3382"/>
      <c r="G6" s="3379" t="s">
        <v>1677</v>
      </c>
      <c r="H6" s="3380"/>
      <c r="I6" s="3379" t="s">
        <v>1677</v>
      </c>
      <c r="J6" s="3380"/>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9" t="s">
        <v>1683</v>
      </c>
      <c r="Q8" s="3370"/>
      <c r="R8" s="663" t="s">
        <v>14</v>
      </c>
      <c r="S8" s="664">
        <f t="shared" si="0"/>
        <v>0</v>
      </c>
      <c r="T8" s="663" t="s">
        <v>14</v>
      </c>
      <c r="U8" s="664">
        <f t="shared" si="1"/>
        <v>0</v>
      </c>
      <c r="V8" s="663" t="s">
        <v>14</v>
      </c>
      <c r="W8" s="664">
        <f t="shared" si="2"/>
        <v>0</v>
      </c>
      <c r="X8" s="665"/>
      <c r="Y8" s="3369" t="s">
        <v>1683</v>
      </c>
      <c r="Z8" s="337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1" t="s">
        <v>1686</v>
      </c>
      <c r="Q9" s="530" t="str">
        <f t="shared" ref="Q9:Q15" si="6">B9</f>
        <v>用途</v>
      </c>
      <c r="R9" s="663" t="s">
        <v>14</v>
      </c>
      <c r="S9" s="664">
        <f t="shared" si="0"/>
        <v>100</v>
      </c>
      <c r="T9" s="663" t="s">
        <v>14</v>
      </c>
      <c r="U9" s="664">
        <f t="shared" si="1"/>
        <v>100</v>
      </c>
      <c r="V9" s="663" t="s">
        <v>14</v>
      </c>
      <c r="W9" s="664">
        <f t="shared" si="2"/>
        <v>100</v>
      </c>
      <c r="X9" s="665"/>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01"/>
      <c r="Q10" s="530" t="str">
        <f t="shared" si="6"/>
        <v>土地使用年限（年）</v>
      </c>
      <c r="R10" s="663" t="s">
        <v>14</v>
      </c>
      <c r="S10" s="664">
        <f t="shared" si="0"/>
        <v>114</v>
      </c>
      <c r="T10" s="663" t="s">
        <v>14</v>
      </c>
      <c r="U10" s="664">
        <f t="shared" si="1"/>
        <v>114</v>
      </c>
      <c r="V10" s="663" t="s">
        <v>14</v>
      </c>
      <c r="W10" s="664">
        <f t="shared" si="2"/>
        <v>114</v>
      </c>
      <c r="X10" s="665"/>
      <c r="Y10" s="3313"/>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1"/>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1"/>
      <c r="Q12" s="530" t="str">
        <f t="shared" si="6"/>
        <v>配建</v>
      </c>
      <c r="R12" s="663" t="s">
        <v>14</v>
      </c>
      <c r="S12" s="664">
        <f t="shared" si="0"/>
        <v>100</v>
      </c>
      <c r="T12" s="663" t="s">
        <v>14</v>
      </c>
      <c r="U12" s="664">
        <f t="shared" si="1"/>
        <v>100</v>
      </c>
      <c r="V12" s="663" t="s">
        <v>14</v>
      </c>
      <c r="W12" s="664">
        <f t="shared" si="2"/>
        <v>100</v>
      </c>
      <c r="X12" s="665"/>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2" t="s">
        <v>1691</v>
      </c>
      <c r="Q15" s="1262" t="str">
        <f t="shared" si="6"/>
        <v>居住社区成熟度</v>
      </c>
      <c r="R15" s="666" t="s">
        <v>14</v>
      </c>
      <c r="S15" s="667">
        <f t="shared" si="0"/>
        <v>100</v>
      </c>
      <c r="T15" s="666" t="s">
        <v>14</v>
      </c>
      <c r="U15" s="667">
        <f t="shared" si="1"/>
        <v>100</v>
      </c>
      <c r="V15" s="666" t="s">
        <v>14</v>
      </c>
      <c r="W15" s="667">
        <f t="shared" si="2"/>
        <v>100</v>
      </c>
      <c r="X15" s="1264"/>
      <c r="Y15" s="340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3"/>
      <c r="Q16" s="1262"/>
      <c r="R16" s="666"/>
      <c r="S16" s="667"/>
      <c r="T16" s="666"/>
      <c r="U16" s="667"/>
      <c r="V16" s="666"/>
      <c r="W16" s="667"/>
      <c r="X16" s="1264"/>
      <c r="Y16" s="3403"/>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3"/>
      <c r="Q17" s="1262" t="str">
        <f>B17</f>
        <v>商业繁华度</v>
      </c>
      <c r="R17" s="666" t="s">
        <v>14</v>
      </c>
      <c r="S17" s="667">
        <f>F17</f>
        <v>100</v>
      </c>
      <c r="T17" s="666" t="s">
        <v>14</v>
      </c>
      <c r="U17" s="667">
        <f>H17</f>
        <v>100</v>
      </c>
      <c r="V17" s="666" t="s">
        <v>14</v>
      </c>
      <c r="W17" s="667">
        <f>J17</f>
        <v>100</v>
      </c>
      <c r="X17" s="1264"/>
      <c r="Y17" s="340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3"/>
      <c r="Q18" s="1262"/>
      <c r="R18" s="666"/>
      <c r="S18" s="667"/>
      <c r="T18" s="666"/>
      <c r="U18" s="667"/>
      <c r="V18" s="666"/>
      <c r="W18" s="667"/>
      <c r="X18" s="1264"/>
      <c r="Y18" s="3403"/>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3"/>
      <c r="Q19" s="1262" t="str">
        <f>B19</f>
        <v>办公集聚程度</v>
      </c>
      <c r="R19" s="666" t="s">
        <v>14</v>
      </c>
      <c r="S19" s="667">
        <f>F19</f>
        <v>100</v>
      </c>
      <c r="T19" s="666" t="s">
        <v>14</v>
      </c>
      <c r="U19" s="667">
        <f>H19</f>
        <v>100</v>
      </c>
      <c r="V19" s="666" t="s">
        <v>14</v>
      </c>
      <c r="W19" s="667">
        <f>J19</f>
        <v>100</v>
      </c>
      <c r="X19" s="1264"/>
      <c r="Y19" s="340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3"/>
      <c r="Q20" s="1262"/>
      <c r="R20" s="666"/>
      <c r="S20" s="667"/>
      <c r="T20" s="666"/>
      <c r="U20" s="667"/>
      <c r="V20" s="666"/>
      <c r="W20" s="667"/>
      <c r="X20" s="1264"/>
      <c r="Y20" s="3403"/>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3"/>
      <c r="Q21" s="1262" t="str">
        <f>B21</f>
        <v>交通便捷度</v>
      </c>
      <c r="R21" s="666" t="s">
        <v>14</v>
      </c>
      <c r="S21" s="667">
        <f>F21</f>
        <v>100</v>
      </c>
      <c r="T21" s="666" t="s">
        <v>14</v>
      </c>
      <c r="U21" s="667">
        <f>H21</f>
        <v>100</v>
      </c>
      <c r="V21" s="666" t="s">
        <v>14</v>
      </c>
      <c r="W21" s="667">
        <f>J21</f>
        <v>100</v>
      </c>
      <c r="X21" s="1264"/>
      <c r="Y21" s="3403"/>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3"/>
      <c r="Q22" s="1262"/>
      <c r="R22" s="666"/>
      <c r="S22" s="667"/>
      <c r="T22" s="666"/>
      <c r="U22" s="667"/>
      <c r="V22" s="666"/>
      <c r="W22" s="667"/>
      <c r="X22" s="1264"/>
      <c r="Y22" s="340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3"/>
      <c r="Q23" s="1262" t="str">
        <f t="shared" ref="Q23:Q37" si="8">B23</f>
        <v>区域土地利用方向</v>
      </c>
      <c r="R23" s="666" t="s">
        <v>14</v>
      </c>
      <c r="S23" s="667">
        <f>F23</f>
        <v>100</v>
      </c>
      <c r="T23" s="666" t="s">
        <v>14</v>
      </c>
      <c r="U23" s="667">
        <f>H23</f>
        <v>100</v>
      </c>
      <c r="V23" s="666" t="s">
        <v>14</v>
      </c>
      <c r="W23" s="667">
        <f>J23</f>
        <v>100</v>
      </c>
      <c r="X23" s="1264"/>
      <c r="Y23" s="340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03"/>
      <c r="Q24" s="1262"/>
      <c r="R24" s="666"/>
      <c r="S24" s="667"/>
      <c r="T24" s="666"/>
      <c r="U24" s="667"/>
      <c r="V24" s="666"/>
      <c r="W24" s="667"/>
      <c r="X24" s="1264"/>
      <c r="Y24" s="3403"/>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3"/>
      <c r="Q25" s="1262" t="str">
        <f t="shared" si="8"/>
        <v>自然及人文环境状况</v>
      </c>
      <c r="R25" s="666" t="s">
        <v>14</v>
      </c>
      <c r="S25" s="667">
        <f>F25</f>
        <v>100</v>
      </c>
      <c r="T25" s="666" t="s">
        <v>14</v>
      </c>
      <c r="U25" s="667">
        <f>H25</f>
        <v>100</v>
      </c>
      <c r="V25" s="666" t="s">
        <v>14</v>
      </c>
      <c r="W25" s="667">
        <f>J25</f>
        <v>100</v>
      </c>
      <c r="X25" s="1264"/>
      <c r="Y25" s="340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3"/>
      <c r="Q26" s="1262"/>
      <c r="R26" s="666"/>
      <c r="S26" s="667"/>
      <c r="T26" s="666"/>
      <c r="U26" s="667"/>
      <c r="V26" s="666"/>
      <c r="W26" s="667"/>
      <c r="X26" s="1264"/>
      <c r="Y26" s="3403"/>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3"/>
      <c r="Q27" s="530" t="str">
        <f t="shared" si="8"/>
        <v>公共配套设施</v>
      </c>
      <c r="R27" s="663" t="s">
        <v>14</v>
      </c>
      <c r="S27" s="664">
        <f>F27</f>
        <v>100</v>
      </c>
      <c r="T27" s="663" t="s">
        <v>14</v>
      </c>
      <c r="U27" s="664">
        <f>H27</f>
        <v>100</v>
      </c>
      <c r="V27" s="663" t="s">
        <v>14</v>
      </c>
      <c r="W27" s="664">
        <f>J27</f>
        <v>100</v>
      </c>
      <c r="X27" s="665"/>
      <c r="Y27" s="340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3"/>
      <c r="Q28" s="530"/>
      <c r="R28" s="663"/>
      <c r="S28" s="664"/>
      <c r="T28" s="663"/>
      <c r="U28" s="664"/>
      <c r="V28" s="663"/>
      <c r="W28" s="664"/>
      <c r="X28" s="665"/>
      <c r="Y28" s="3403"/>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3"/>
      <c r="Q29" s="530"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3"/>
      <c r="Q30" s="530"/>
      <c r="R30" s="663"/>
      <c r="S30" s="664"/>
      <c r="T30" s="663"/>
      <c r="U30" s="664"/>
      <c r="V30" s="663"/>
      <c r="W30" s="664"/>
      <c r="X30" s="665"/>
      <c r="Y30" s="340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3"/>
      <c r="Q32" s="1262" t="str">
        <f t="shared" si="8"/>
        <v>毗邻道路的类型与等级</v>
      </c>
      <c r="R32" s="666" t="s">
        <v>14</v>
      </c>
      <c r="S32" s="667">
        <f t="shared" si="10"/>
        <v>100</v>
      </c>
      <c r="T32" s="666" t="s">
        <v>14</v>
      </c>
      <c r="U32" s="667">
        <f t="shared" si="11"/>
        <v>100</v>
      </c>
      <c r="V32" s="666" t="s">
        <v>14</v>
      </c>
      <c r="W32" s="667">
        <f t="shared" si="12"/>
        <v>100</v>
      </c>
      <c r="X32" s="1264"/>
      <c r="Y32" s="340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3"/>
      <c r="Q33" s="1262"/>
      <c r="R33" s="666"/>
      <c r="S33" s="667"/>
      <c r="T33" s="666"/>
      <c r="U33" s="667"/>
      <c r="V33" s="666"/>
      <c r="W33" s="667"/>
      <c r="X33" s="1264"/>
      <c r="Y33" s="340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3"/>
      <c r="Q34" s="1262" t="str">
        <f t="shared" si="8"/>
        <v>土地级别</v>
      </c>
      <c r="R34" s="666" t="s">
        <v>14</v>
      </c>
      <c r="S34" s="667">
        <f t="shared" si="10"/>
        <v>100</v>
      </c>
      <c r="T34" s="666" t="s">
        <v>14</v>
      </c>
      <c r="U34" s="667">
        <f t="shared" si="11"/>
        <v>100</v>
      </c>
      <c r="V34" s="666" t="s">
        <v>14</v>
      </c>
      <c r="W34" s="667">
        <f t="shared" si="12"/>
        <v>100</v>
      </c>
      <c r="X34" s="1264"/>
      <c r="Y34" s="3403"/>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3"/>
      <c r="Q35" s="1262">
        <f t="shared" si="8"/>
        <v>111</v>
      </c>
      <c r="R35" s="666" t="s">
        <v>14</v>
      </c>
      <c r="S35" s="667">
        <f t="shared" si="10"/>
        <v>100</v>
      </c>
      <c r="T35" s="666" t="s">
        <v>14</v>
      </c>
      <c r="U35" s="667">
        <f t="shared" si="11"/>
        <v>100</v>
      </c>
      <c r="V35" s="666" t="s">
        <v>14</v>
      </c>
      <c r="W35" s="667">
        <f t="shared" si="12"/>
        <v>100</v>
      </c>
      <c r="X35" s="1264"/>
      <c r="Y35" s="3403"/>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2">
        <f t="shared" si="8"/>
        <v>111</v>
      </c>
      <c r="R36" s="666" t="s">
        <v>14</v>
      </c>
      <c r="S36" s="667">
        <f t="shared" si="10"/>
        <v>100</v>
      </c>
      <c r="T36" s="666" t="s">
        <v>14</v>
      </c>
      <c r="U36" s="667">
        <f t="shared" si="11"/>
        <v>100</v>
      </c>
      <c r="V36" s="666" t="s">
        <v>14</v>
      </c>
      <c r="W36" s="667">
        <f t="shared" si="12"/>
        <v>100</v>
      </c>
      <c r="X36" s="1264"/>
      <c r="Y36" s="3407"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7"/>
      <c r="Q37" s="1262">
        <f t="shared" si="8"/>
        <v>111</v>
      </c>
      <c r="R37" s="668" t="s">
        <v>14</v>
      </c>
      <c r="S37" s="669">
        <f t="shared" si="10"/>
        <v>100</v>
      </c>
      <c r="T37" s="668" t="s">
        <v>14</v>
      </c>
      <c r="U37" s="669">
        <f t="shared" si="11"/>
        <v>100</v>
      </c>
      <c r="V37" s="668" t="s">
        <v>14</v>
      </c>
      <c r="W37" s="669">
        <f t="shared" si="12"/>
        <v>100</v>
      </c>
      <c r="X37" s="670"/>
      <c r="Y37" s="3407"/>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7"/>
      <c r="Q38" s="1262" t="str">
        <f>B38</f>
        <v>宗地面积</v>
      </c>
      <c r="R38" s="666" t="s">
        <v>14</v>
      </c>
      <c r="S38" s="667" t="e">
        <f t="shared" si="10"/>
        <v>#N/A</v>
      </c>
      <c r="T38" s="666" t="s">
        <v>14</v>
      </c>
      <c r="U38" s="667" t="e">
        <f t="shared" si="11"/>
        <v>#N/A</v>
      </c>
      <c r="V38" s="666" t="s">
        <v>14</v>
      </c>
      <c r="W38" s="667" t="e">
        <f t="shared" si="12"/>
        <v>#N/A</v>
      </c>
      <c r="X38" s="1264"/>
      <c r="Y38" s="340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7"/>
      <c r="Q39" s="1262" t="str">
        <f t="shared" ref="Q39:Q45" si="14">B39</f>
        <v>宗地形状</v>
      </c>
      <c r="R39" s="666" t="s">
        <v>14</v>
      </c>
      <c r="S39" s="667">
        <f t="shared" si="10"/>
        <v>100</v>
      </c>
      <c r="T39" s="666" t="s">
        <v>14</v>
      </c>
      <c r="U39" s="667">
        <f t="shared" si="11"/>
        <v>100</v>
      </c>
      <c r="V39" s="666" t="s">
        <v>14</v>
      </c>
      <c r="W39" s="667">
        <f t="shared" si="12"/>
        <v>100</v>
      </c>
      <c r="X39" s="1264"/>
      <c r="Y39" s="340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7"/>
      <c r="Q40" s="1262" t="str">
        <f t="shared" si="14"/>
        <v>临街宽度及深度</v>
      </c>
      <c r="R40" s="666" t="s">
        <v>14</v>
      </c>
      <c r="S40" s="667">
        <f t="shared" si="10"/>
        <v>100</v>
      </c>
      <c r="T40" s="666" t="s">
        <v>14</v>
      </c>
      <c r="U40" s="667">
        <f t="shared" si="11"/>
        <v>100</v>
      </c>
      <c r="V40" s="666" t="s">
        <v>14</v>
      </c>
      <c r="W40" s="667">
        <f t="shared" si="12"/>
        <v>100</v>
      </c>
      <c r="X40" s="1264"/>
      <c r="Y40" s="340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7"/>
      <c r="Q41" s="1262" t="str">
        <f t="shared" si="14"/>
        <v>宗地开发程度</v>
      </c>
      <c r="R41" s="663" t="s">
        <v>14</v>
      </c>
      <c r="S41" s="664">
        <f t="shared" si="10"/>
        <v>100</v>
      </c>
      <c r="T41" s="663" t="s">
        <v>14</v>
      </c>
      <c r="U41" s="664">
        <f t="shared" si="11"/>
        <v>100</v>
      </c>
      <c r="V41" s="663" t="s">
        <v>14</v>
      </c>
      <c r="W41" s="664">
        <f t="shared" si="12"/>
        <v>100</v>
      </c>
      <c r="X41" s="665"/>
      <c r="Y41" s="340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7" t="s">
        <v>1696</v>
      </c>
      <c r="Q42" s="1262" t="str">
        <f t="shared" si="14"/>
        <v>工程地质条件</v>
      </c>
      <c r="R42" s="666" t="s">
        <v>14</v>
      </c>
      <c r="S42" s="667">
        <f t="shared" si="10"/>
        <v>100</v>
      </c>
      <c r="T42" s="666" t="s">
        <v>14</v>
      </c>
      <c r="U42" s="667">
        <f t="shared" si="11"/>
        <v>100</v>
      </c>
      <c r="V42" s="666" t="s">
        <v>14</v>
      </c>
      <c r="W42" s="667">
        <f t="shared" si="12"/>
        <v>100</v>
      </c>
      <c r="X42" s="1264"/>
      <c r="Y42" s="3407"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7"/>
      <c r="Q43" s="1262">
        <f t="shared" si="14"/>
        <v>111</v>
      </c>
      <c r="R43" s="666" t="s">
        <v>14</v>
      </c>
      <c r="S43" s="667">
        <f t="shared" si="10"/>
        <v>100</v>
      </c>
      <c r="T43" s="666" t="s">
        <v>14</v>
      </c>
      <c r="U43" s="667">
        <f t="shared" si="11"/>
        <v>100</v>
      </c>
      <c r="V43" s="666" t="s">
        <v>14</v>
      </c>
      <c r="W43" s="667">
        <f t="shared" si="12"/>
        <v>100</v>
      </c>
      <c r="X43" s="1264"/>
      <c r="Y43" s="3407"/>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7"/>
      <c r="Q44" s="1262">
        <f t="shared" si="14"/>
        <v>111</v>
      </c>
      <c r="R44" s="666" t="s">
        <v>14</v>
      </c>
      <c r="S44" s="667">
        <f t="shared" si="10"/>
        <v>100</v>
      </c>
      <c r="T44" s="666" t="s">
        <v>14</v>
      </c>
      <c r="U44" s="667">
        <f t="shared" si="11"/>
        <v>100</v>
      </c>
      <c r="V44" s="666" t="s">
        <v>14</v>
      </c>
      <c r="W44" s="667">
        <f t="shared" si="12"/>
        <v>100</v>
      </c>
      <c r="X44" s="1264"/>
      <c r="Y44" s="3407"/>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7"/>
      <c r="Q45" s="1262">
        <f t="shared" si="14"/>
        <v>111</v>
      </c>
      <c r="R45" s="668" t="s">
        <v>14</v>
      </c>
      <c r="S45" s="669">
        <f t="shared" si="10"/>
        <v>100</v>
      </c>
      <c r="T45" s="668" t="s">
        <v>14</v>
      </c>
      <c r="U45" s="669">
        <f t="shared" si="11"/>
        <v>100</v>
      </c>
      <c r="V45" s="668" t="s">
        <v>14</v>
      </c>
      <c r="W45" s="669">
        <f t="shared" si="12"/>
        <v>100</v>
      </c>
      <c r="X45" s="670"/>
      <c r="Y45" s="3407"/>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401" t="str">
        <f>A46</f>
        <v>成交单价</v>
      </c>
      <c r="Q46" s="3401"/>
      <c r="R46" s="3396">
        <f>E46</f>
        <v>0</v>
      </c>
      <c r="S46" s="3396"/>
      <c r="T46" s="3396">
        <f>G46</f>
        <v>0</v>
      </c>
      <c r="U46" s="3396"/>
      <c r="V46" s="3396">
        <f>I46</f>
        <v>0</v>
      </c>
      <c r="W46" s="3396"/>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01" t="str">
        <f>A47</f>
        <v>比较价值（元/平方米）</v>
      </c>
      <c r="Q47" s="3401"/>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98" t="str">
        <f>A48</f>
        <v>估价对象XX用房的比较价值（楼面单价，元/平方米）</v>
      </c>
      <c r="Q48" s="3399"/>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84"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1069.99</v>
      </c>
      <c r="F56" s="832" t="e">
        <f t="shared" ref="F56:F64" si="15">ROUND(B56*E56/10000,0)</f>
        <v>#DIV/0!</v>
      </c>
      <c r="G56" s="3383"/>
      <c r="H56" s="3401"/>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1069.99</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71" t="s">
        <v>1771</v>
      </c>
      <c r="S4" s="3372"/>
      <c r="T4" s="3371" t="s">
        <v>1772</v>
      </c>
      <c r="U4" s="3372"/>
      <c r="V4" s="3396" t="s">
        <v>1773</v>
      </c>
      <c r="W4" s="3396"/>
      <c r="X4" s="1264"/>
      <c r="Y4" s="3371" t="s">
        <v>1775</v>
      </c>
      <c r="Z4" s="3372"/>
      <c r="AA4" s="3366" t="s">
        <v>1771</v>
      </c>
      <c r="AB4" s="3367" t="s">
        <v>1772</v>
      </c>
      <c r="AC4" s="3366" t="s">
        <v>1773</v>
      </c>
    </row>
    <row r="5" spans="1:29" ht="15">
      <c r="A5" s="348"/>
      <c r="B5" s="349"/>
      <c r="C5" s="3377" t="s">
        <v>1673</v>
      </c>
      <c r="D5" s="3378"/>
      <c r="E5" s="3375" t="s">
        <v>1674</v>
      </c>
      <c r="F5" s="3376"/>
      <c r="G5" s="3377" t="s">
        <v>1675</v>
      </c>
      <c r="H5" s="3378"/>
      <c r="I5" s="3377" t="s">
        <v>1676</v>
      </c>
      <c r="J5" s="3378"/>
      <c r="K5" s="537"/>
      <c r="L5" s="2486"/>
      <c r="M5" s="2487"/>
      <c r="N5" s="2487"/>
      <c r="O5" s="2487"/>
      <c r="P5" s="3390"/>
      <c r="Q5" s="3391"/>
      <c r="R5" s="3373"/>
      <c r="S5" s="3374"/>
      <c r="T5" s="3373"/>
      <c r="U5" s="3374"/>
      <c r="V5" s="3396"/>
      <c r="W5" s="3396"/>
      <c r="X5" s="1264"/>
      <c r="Y5" s="3373"/>
      <c r="Z5" s="3374"/>
      <c r="AA5" s="3367"/>
      <c r="AB5" s="3367"/>
      <c r="AC5" s="3367"/>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2"/>
      <c r="Q6" s="3393"/>
      <c r="R6" s="3373"/>
      <c r="S6" s="3374"/>
      <c r="T6" s="3394"/>
      <c r="U6" s="3395"/>
      <c r="V6" s="3396"/>
      <c r="W6" s="3396"/>
      <c r="X6" s="1264"/>
      <c r="Y6" s="3394"/>
      <c r="Z6" s="3395"/>
      <c r="AA6" s="3368"/>
      <c r="AB6" s="3368"/>
      <c r="AC6" s="3368"/>
    </row>
    <row r="7" spans="1:29" s="102" customFormat="1" ht="15.75" thickBot="1">
      <c r="A7" s="352" t="s">
        <v>1679</v>
      </c>
      <c r="B7" s="353"/>
      <c r="C7" s="354">
        <f>'数据-取费表'!B2</f>
        <v>45580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9" t="s">
        <v>1683</v>
      </c>
      <c r="Q8" s="3370"/>
      <c r="R8" s="663" t="s">
        <v>14</v>
      </c>
      <c r="S8" s="664">
        <f t="shared" si="0"/>
        <v>0</v>
      </c>
      <c r="T8" s="663" t="s">
        <v>14</v>
      </c>
      <c r="U8" s="664">
        <f t="shared" si="1"/>
        <v>0</v>
      </c>
      <c r="V8" s="663" t="s">
        <v>14</v>
      </c>
      <c r="W8" s="664">
        <f t="shared" si="2"/>
        <v>0</v>
      </c>
      <c r="X8" s="665"/>
      <c r="Y8" s="3369" t="s">
        <v>1683</v>
      </c>
      <c r="Z8" s="337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1" t="s">
        <v>1686</v>
      </c>
      <c r="Q9" s="530" t="str">
        <f t="shared" ref="Q9:Q15" si="6">B9</f>
        <v>用途</v>
      </c>
      <c r="R9" s="663" t="s">
        <v>14</v>
      </c>
      <c r="S9" s="664">
        <f t="shared" si="0"/>
        <v>100</v>
      </c>
      <c r="T9" s="663" t="s">
        <v>14</v>
      </c>
      <c r="U9" s="664">
        <f t="shared" si="1"/>
        <v>100</v>
      </c>
      <c r="V9" s="663" t="s">
        <v>14</v>
      </c>
      <c r="W9" s="664">
        <f t="shared" si="2"/>
        <v>100</v>
      </c>
      <c r="X9" s="665"/>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01"/>
      <c r="Q10" s="530" t="str">
        <f t="shared" si="6"/>
        <v>土地使用年限（年）</v>
      </c>
      <c r="R10" s="663" t="s">
        <v>14</v>
      </c>
      <c r="S10" s="664">
        <f t="shared" si="0"/>
        <v>114</v>
      </c>
      <c r="T10" s="663" t="s">
        <v>14</v>
      </c>
      <c r="U10" s="664">
        <f t="shared" si="1"/>
        <v>114</v>
      </c>
      <c r="V10" s="663" t="s">
        <v>14</v>
      </c>
      <c r="W10" s="664">
        <f t="shared" si="2"/>
        <v>114</v>
      </c>
      <c r="X10" s="665"/>
      <c r="Y10" s="3313"/>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1"/>
      <c r="Q11" s="530" t="str">
        <f t="shared" si="6"/>
        <v>容积率</v>
      </c>
      <c r="R11" s="663" t="s">
        <v>14</v>
      </c>
      <c r="S11" s="664" t="e">
        <f t="shared" si="0"/>
        <v>#N/A</v>
      </c>
      <c r="T11" s="663" t="s">
        <v>14</v>
      </c>
      <c r="U11" s="664" t="e">
        <f t="shared" si="1"/>
        <v>#N/A</v>
      </c>
      <c r="V11" s="663" t="s">
        <v>14</v>
      </c>
      <c r="W11" s="664" t="e">
        <f t="shared" si="2"/>
        <v>#N/A</v>
      </c>
      <c r="X11" s="665"/>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1"/>
      <c r="Q12" s="530">
        <f t="shared" si="6"/>
        <v>111</v>
      </c>
      <c r="R12" s="663" t="s">
        <v>14</v>
      </c>
      <c r="S12" s="664">
        <f t="shared" si="0"/>
        <v>100</v>
      </c>
      <c r="T12" s="663" t="s">
        <v>14</v>
      </c>
      <c r="U12" s="664">
        <f t="shared" si="1"/>
        <v>100</v>
      </c>
      <c r="V12" s="663" t="s">
        <v>14</v>
      </c>
      <c r="W12" s="664">
        <f t="shared" si="2"/>
        <v>100</v>
      </c>
      <c r="X12" s="665"/>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1"/>
      <c r="Q13" s="530">
        <f t="shared" si="6"/>
        <v>111</v>
      </c>
      <c r="R13" s="663" t="s">
        <v>14</v>
      </c>
      <c r="S13" s="664">
        <f t="shared" si="0"/>
        <v>100</v>
      </c>
      <c r="T13" s="663" t="s">
        <v>14</v>
      </c>
      <c r="U13" s="664">
        <f t="shared" si="1"/>
        <v>100</v>
      </c>
      <c r="V13" s="663" t="s">
        <v>14</v>
      </c>
      <c r="W13" s="664">
        <f t="shared" si="2"/>
        <v>100</v>
      </c>
      <c r="X13" s="665"/>
      <c r="Y13" s="331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1"/>
      <c r="Q14" s="530">
        <f t="shared" si="6"/>
        <v>111</v>
      </c>
      <c r="R14" s="663" t="s">
        <v>14</v>
      </c>
      <c r="S14" s="664">
        <f t="shared" si="0"/>
        <v>100</v>
      </c>
      <c r="T14" s="663" t="s">
        <v>14</v>
      </c>
      <c r="U14" s="664">
        <f t="shared" si="1"/>
        <v>100</v>
      </c>
      <c r="V14" s="663" t="s">
        <v>14</v>
      </c>
      <c r="W14" s="664">
        <f t="shared" si="2"/>
        <v>100</v>
      </c>
      <c r="X14" s="665"/>
      <c r="Y14" s="3313"/>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3"/>
      <c r="Q16" s="1262"/>
      <c r="R16" s="666"/>
      <c r="S16" s="667"/>
      <c r="T16" s="666"/>
      <c r="U16" s="667"/>
      <c r="V16" s="666"/>
      <c r="W16" s="667"/>
      <c r="X16" s="1264"/>
      <c r="Y16" s="3403"/>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3"/>
      <c r="Q18" s="1262"/>
      <c r="R18" s="666"/>
      <c r="S18" s="667"/>
      <c r="T18" s="666"/>
      <c r="U18" s="667"/>
      <c r="V18" s="666"/>
      <c r="W18" s="667"/>
      <c r="X18" s="1264"/>
      <c r="Y18" s="3403"/>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3"/>
      <c r="Q19" s="1262" t="str">
        <f t="shared" ref="Q19:Q33" si="8">B19</f>
        <v>区域土地利用方向</v>
      </c>
      <c r="R19" s="666" t="s">
        <v>14</v>
      </c>
      <c r="S19" s="667">
        <f>F19</f>
        <v>100</v>
      </c>
      <c r="T19" s="666" t="s">
        <v>14</v>
      </c>
      <c r="U19" s="667">
        <f>H19</f>
        <v>100</v>
      </c>
      <c r="V19" s="666" t="s">
        <v>14</v>
      </c>
      <c r="W19" s="667">
        <f>J19</f>
        <v>100</v>
      </c>
      <c r="X19" s="1264"/>
      <c r="Y19" s="340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03"/>
      <c r="Q20" s="1262"/>
      <c r="R20" s="666"/>
      <c r="S20" s="667"/>
      <c r="T20" s="666"/>
      <c r="U20" s="667"/>
      <c r="V20" s="666"/>
      <c r="W20" s="667"/>
      <c r="X20" s="1264"/>
      <c r="Y20" s="3403"/>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3"/>
      <c r="Q21" s="1262" t="str">
        <f t="shared" si="8"/>
        <v>环境状况</v>
      </c>
      <c r="R21" s="666" t="s">
        <v>14</v>
      </c>
      <c r="S21" s="667">
        <f>F21</f>
        <v>100</v>
      </c>
      <c r="T21" s="666" t="s">
        <v>14</v>
      </c>
      <c r="U21" s="667">
        <f>H21</f>
        <v>100</v>
      </c>
      <c r="V21" s="666" t="s">
        <v>14</v>
      </c>
      <c r="W21" s="667">
        <f>J21</f>
        <v>100</v>
      </c>
      <c r="X21" s="1264"/>
      <c r="Y21" s="340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3"/>
      <c r="Q22" s="1262"/>
      <c r="R22" s="666"/>
      <c r="S22" s="667"/>
      <c r="T22" s="666"/>
      <c r="U22" s="667"/>
      <c r="V22" s="666"/>
      <c r="W22" s="667"/>
      <c r="X22" s="1264"/>
      <c r="Y22" s="3403"/>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3"/>
      <c r="Q23" s="530" t="str">
        <f t="shared" si="8"/>
        <v>公共配套设施</v>
      </c>
      <c r="R23" s="663" t="s">
        <v>14</v>
      </c>
      <c r="S23" s="664">
        <f>F23</f>
        <v>100</v>
      </c>
      <c r="T23" s="663" t="s">
        <v>14</v>
      </c>
      <c r="U23" s="664">
        <f>H23</f>
        <v>100</v>
      </c>
      <c r="V23" s="663" t="s">
        <v>14</v>
      </c>
      <c r="W23" s="664">
        <f>J23</f>
        <v>100</v>
      </c>
      <c r="X23" s="665"/>
      <c r="Y23" s="340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3"/>
      <c r="Q24" s="530"/>
      <c r="R24" s="663"/>
      <c r="S24" s="664"/>
      <c r="T24" s="663"/>
      <c r="U24" s="664"/>
      <c r="V24" s="663"/>
      <c r="W24" s="664"/>
      <c r="X24" s="665"/>
      <c r="Y24" s="3403"/>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3"/>
      <c r="Q25" s="530"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3"/>
      <c r="Q26" s="530"/>
      <c r="R26" s="663"/>
      <c r="S26" s="664"/>
      <c r="T26" s="663"/>
      <c r="U26" s="664"/>
      <c r="V26" s="663"/>
      <c r="W26" s="664"/>
      <c r="X26" s="665"/>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3"/>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3"/>
      <c r="Q28" s="1262" t="str">
        <f t="shared" si="8"/>
        <v>毗邻道路的类型与等级</v>
      </c>
      <c r="R28" s="666" t="s">
        <v>14</v>
      </c>
      <c r="S28" s="667">
        <f t="shared" si="10"/>
        <v>100</v>
      </c>
      <c r="T28" s="666" t="s">
        <v>14</v>
      </c>
      <c r="U28" s="667">
        <f t="shared" si="11"/>
        <v>100</v>
      </c>
      <c r="V28" s="666" t="s">
        <v>14</v>
      </c>
      <c r="W28" s="667">
        <f t="shared" si="12"/>
        <v>100</v>
      </c>
      <c r="X28" s="1264"/>
      <c r="Y28" s="340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3"/>
      <c r="Q29" s="1262"/>
      <c r="R29" s="666"/>
      <c r="S29" s="667"/>
      <c r="T29" s="666"/>
      <c r="U29" s="667"/>
      <c r="V29" s="666"/>
      <c r="W29" s="667"/>
      <c r="X29" s="1264"/>
      <c r="Y29" s="3403"/>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3"/>
      <c r="Q30" s="1262" t="str">
        <f t="shared" si="8"/>
        <v>土地级别</v>
      </c>
      <c r="R30" s="666" t="s">
        <v>14</v>
      </c>
      <c r="S30" s="667">
        <f t="shared" si="10"/>
        <v>100</v>
      </c>
      <c r="T30" s="666" t="s">
        <v>14</v>
      </c>
      <c r="U30" s="667">
        <f t="shared" si="11"/>
        <v>100</v>
      </c>
      <c r="V30" s="666" t="s">
        <v>14</v>
      </c>
      <c r="W30" s="667">
        <f t="shared" si="12"/>
        <v>100</v>
      </c>
      <c r="X30" s="1264"/>
      <c r="Y30" s="3403"/>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3"/>
      <c r="Q31" s="1262">
        <f t="shared" si="8"/>
        <v>111</v>
      </c>
      <c r="R31" s="666" t="s">
        <v>14</v>
      </c>
      <c r="S31" s="667">
        <f t="shared" si="10"/>
        <v>100</v>
      </c>
      <c r="T31" s="666" t="s">
        <v>14</v>
      </c>
      <c r="U31" s="667">
        <f t="shared" si="11"/>
        <v>100</v>
      </c>
      <c r="V31" s="666" t="s">
        <v>14</v>
      </c>
      <c r="W31" s="667">
        <f t="shared" si="12"/>
        <v>100</v>
      </c>
      <c r="X31" s="1264"/>
      <c r="Y31" s="3403"/>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2">
        <f t="shared" si="8"/>
        <v>111</v>
      </c>
      <c r="R32" s="666" t="s">
        <v>14</v>
      </c>
      <c r="S32" s="667">
        <f t="shared" si="10"/>
        <v>100</v>
      </c>
      <c r="T32" s="666" t="s">
        <v>14</v>
      </c>
      <c r="U32" s="667">
        <f t="shared" si="11"/>
        <v>100</v>
      </c>
      <c r="V32" s="666" t="s">
        <v>14</v>
      </c>
      <c r="W32" s="667">
        <f t="shared" si="12"/>
        <v>100</v>
      </c>
      <c r="X32" s="1264"/>
      <c r="Y32" s="3407"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7"/>
      <c r="Q33" s="1262">
        <f t="shared" si="8"/>
        <v>111</v>
      </c>
      <c r="R33" s="668" t="s">
        <v>14</v>
      </c>
      <c r="S33" s="669">
        <f t="shared" si="10"/>
        <v>100</v>
      </c>
      <c r="T33" s="668" t="s">
        <v>14</v>
      </c>
      <c r="U33" s="669">
        <f t="shared" si="11"/>
        <v>100</v>
      </c>
      <c r="V33" s="668" t="s">
        <v>14</v>
      </c>
      <c r="W33" s="669">
        <f t="shared" si="12"/>
        <v>100</v>
      </c>
      <c r="X33" s="670"/>
      <c r="Y33" s="3407"/>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7"/>
      <c r="Q34" s="1262" t="str">
        <f>B34</f>
        <v>宗地面积</v>
      </c>
      <c r="R34" s="666" t="s">
        <v>14</v>
      </c>
      <c r="S34" s="667" t="e">
        <f t="shared" si="10"/>
        <v>#N/A</v>
      </c>
      <c r="T34" s="666" t="s">
        <v>14</v>
      </c>
      <c r="U34" s="667" t="e">
        <f t="shared" si="11"/>
        <v>#N/A</v>
      </c>
      <c r="V34" s="666" t="s">
        <v>14</v>
      </c>
      <c r="W34" s="667" t="e">
        <f t="shared" si="12"/>
        <v>#N/A</v>
      </c>
      <c r="X34" s="1264"/>
      <c r="Y34" s="340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7"/>
      <c r="Q35" s="1262" t="str">
        <f t="shared" ref="Q35:Q40" si="14">B35</f>
        <v>宗地形状</v>
      </c>
      <c r="R35" s="666" t="s">
        <v>14</v>
      </c>
      <c r="S35" s="667">
        <f t="shared" si="10"/>
        <v>100</v>
      </c>
      <c r="T35" s="666" t="s">
        <v>14</v>
      </c>
      <c r="U35" s="667">
        <f t="shared" si="11"/>
        <v>100</v>
      </c>
      <c r="V35" s="666" t="s">
        <v>14</v>
      </c>
      <c r="W35" s="667">
        <f t="shared" si="12"/>
        <v>100</v>
      </c>
      <c r="X35" s="1264"/>
      <c r="Y35" s="340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7"/>
      <c r="Q36" s="1262" t="str">
        <f t="shared" si="14"/>
        <v>宗地开发程度</v>
      </c>
      <c r="R36" s="663" t="s">
        <v>14</v>
      </c>
      <c r="S36" s="664">
        <f t="shared" si="10"/>
        <v>100</v>
      </c>
      <c r="T36" s="663" t="s">
        <v>14</v>
      </c>
      <c r="U36" s="664">
        <f t="shared" si="11"/>
        <v>100</v>
      </c>
      <c r="V36" s="663" t="s">
        <v>14</v>
      </c>
      <c r="W36" s="664">
        <f t="shared" si="12"/>
        <v>100</v>
      </c>
      <c r="X36" s="665"/>
      <c r="Y36" s="340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7" t="s">
        <v>1696</v>
      </c>
      <c r="Q37" s="1262" t="str">
        <f t="shared" si="14"/>
        <v>工程地质条件</v>
      </c>
      <c r="R37" s="666" t="s">
        <v>14</v>
      </c>
      <c r="S37" s="667">
        <f t="shared" si="10"/>
        <v>100</v>
      </c>
      <c r="T37" s="666" t="s">
        <v>14</v>
      </c>
      <c r="U37" s="667">
        <f t="shared" si="11"/>
        <v>100</v>
      </c>
      <c r="V37" s="666" t="s">
        <v>14</v>
      </c>
      <c r="W37" s="667">
        <f t="shared" si="12"/>
        <v>100</v>
      </c>
      <c r="X37" s="1264"/>
      <c r="Y37" s="3407"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7"/>
      <c r="Q38" s="1262">
        <f t="shared" si="14"/>
        <v>111</v>
      </c>
      <c r="R38" s="666" t="s">
        <v>14</v>
      </c>
      <c r="S38" s="667">
        <f t="shared" si="10"/>
        <v>100</v>
      </c>
      <c r="T38" s="666" t="s">
        <v>14</v>
      </c>
      <c r="U38" s="667">
        <f t="shared" si="11"/>
        <v>100</v>
      </c>
      <c r="V38" s="666" t="s">
        <v>14</v>
      </c>
      <c r="W38" s="667">
        <f t="shared" si="12"/>
        <v>100</v>
      </c>
      <c r="X38" s="1264"/>
      <c r="Y38" s="3407"/>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7"/>
      <c r="Q39" s="1262">
        <f t="shared" si="14"/>
        <v>111</v>
      </c>
      <c r="R39" s="666" t="s">
        <v>14</v>
      </c>
      <c r="S39" s="667">
        <f t="shared" si="10"/>
        <v>100</v>
      </c>
      <c r="T39" s="666" t="s">
        <v>14</v>
      </c>
      <c r="U39" s="667">
        <f t="shared" si="11"/>
        <v>100</v>
      </c>
      <c r="V39" s="666" t="s">
        <v>14</v>
      </c>
      <c r="W39" s="667">
        <f t="shared" si="12"/>
        <v>100</v>
      </c>
      <c r="X39" s="1264"/>
      <c r="Y39" s="3407"/>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7"/>
      <c r="Q40" s="1262">
        <f t="shared" si="14"/>
        <v>111</v>
      </c>
      <c r="R40" s="668" t="s">
        <v>14</v>
      </c>
      <c r="S40" s="669">
        <f t="shared" si="10"/>
        <v>100</v>
      </c>
      <c r="T40" s="668" t="s">
        <v>14</v>
      </c>
      <c r="U40" s="669">
        <f t="shared" si="11"/>
        <v>100</v>
      </c>
      <c r="V40" s="668" t="s">
        <v>14</v>
      </c>
      <c r="W40" s="669">
        <f t="shared" si="12"/>
        <v>100</v>
      </c>
      <c r="X40" s="670"/>
      <c r="Y40" s="3407"/>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401" t="str">
        <f>A41</f>
        <v>成交单价</v>
      </c>
      <c r="Q41" s="3401"/>
      <c r="R41" s="3396">
        <f>E41</f>
        <v>0</v>
      </c>
      <c r="S41" s="3396"/>
      <c r="T41" s="3396">
        <f>G41</f>
        <v>0</v>
      </c>
      <c r="U41" s="3396"/>
      <c r="V41" s="3396">
        <f>I41</f>
        <v>0</v>
      </c>
      <c r="W41" s="3396"/>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01" t="str">
        <f>A42</f>
        <v>比较价值（元/平方米）</v>
      </c>
      <c r="Q42" s="3401"/>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98" t="str">
        <f>A43</f>
        <v>估价对象XX用房的比较价值（楼面单价，元/平方米）</v>
      </c>
      <c r="Q43" s="3399"/>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4" t="s">
        <v>1887</v>
      </c>
      <c r="H50" s="3432"/>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1069.99</v>
      </c>
      <c r="F51" s="611" t="e">
        <f t="shared" ref="F51:F60" si="15">ROUND(B51*E51/10000,0)</f>
        <v>#DIV/0!</v>
      </c>
      <c r="G51" s="3383"/>
      <c r="H51" s="3401"/>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80" sqref="Q80"/>
      <selection pane="bottomLeft" activeCell="C3" sqref="C3:I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0" t="s">
        <v>2084</v>
      </c>
      <c r="D1" s="3441"/>
      <c r="E1" s="3441"/>
      <c r="F1" s="3441"/>
      <c r="G1" s="3441"/>
      <c r="H1" s="3441"/>
      <c r="I1" s="3441"/>
      <c r="J1" s="3441"/>
      <c r="K1" s="3441"/>
      <c r="L1" s="3441"/>
      <c r="M1" s="3441"/>
      <c r="N1" s="3441"/>
      <c r="O1" s="3441"/>
      <c r="P1" s="3441"/>
      <c r="Q1" s="3441"/>
      <c r="R1" s="3441"/>
      <c r="S1" s="3442"/>
      <c r="T1" s="928" t="s">
        <v>2085</v>
      </c>
    </row>
    <row r="2" spans="1:45" s="625" customFormat="1" ht="38.25">
      <c r="A2" s="929"/>
      <c r="B2" s="622" t="s">
        <v>2086</v>
      </c>
      <c r="C2" s="14" t="str">
        <f t="shared" ref="C2:L2" si="0">C3&amp;"(含)"&amp;"-"&amp;D3</f>
        <v>0(含)-150</v>
      </c>
      <c r="D2" s="623" t="str">
        <f t="shared" si="0"/>
        <v>150(含)-500</v>
      </c>
      <c r="E2" s="623" t="str">
        <f t="shared" si="0"/>
        <v>500(含)-1000</v>
      </c>
      <c r="F2" s="623" t="str">
        <f t="shared" si="0"/>
        <v>1000(含)-1500</v>
      </c>
      <c r="G2" s="623" t="str">
        <f t="shared" si="0"/>
        <v>1500(含)-2000</v>
      </c>
      <c r="H2" s="623" t="str">
        <f t="shared" si="0"/>
        <v>2000(含)-3000</v>
      </c>
      <c r="I2" s="623" t="str">
        <f t="shared" si="0"/>
        <v>3000(含)-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150</v>
      </c>
      <c r="E3" s="6">
        <v>500</v>
      </c>
      <c r="F3" s="3495">
        <v>1000</v>
      </c>
      <c r="G3" s="3495">
        <v>1500</v>
      </c>
      <c r="H3" s="3495">
        <v>2000</v>
      </c>
      <c r="I3" s="3495">
        <v>3000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v>99</v>
      </c>
      <c r="E4" s="491">
        <v>98</v>
      </c>
      <c r="F4" s="3496">
        <v>97</v>
      </c>
      <c r="G4" s="3497">
        <v>96</v>
      </c>
      <c r="H4" s="3496">
        <v>95</v>
      </c>
      <c r="I4" s="3497">
        <v>94</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2012</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18804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1069.99</v>
      </c>
      <c r="C22" s="3437" t="s">
        <v>27</v>
      </c>
      <c r="D22" s="3438"/>
      <c r="E22" s="3438"/>
      <c r="F22" s="3438"/>
      <c r="G22" s="3438"/>
      <c r="H22" s="3438"/>
      <c r="I22" s="3438"/>
      <c r="J22" s="3438"/>
      <c r="K22" s="3438"/>
      <c r="L22" s="3438"/>
      <c r="M22" s="3438"/>
      <c r="N22" s="3438"/>
      <c r="O22" s="3438"/>
      <c r="P22" s="3438"/>
      <c r="Q22" s="3439"/>
      <c r="R22" s="21">
        <f ca="1">ROUND(S22*10000/B22,0)</f>
        <v>18804</v>
      </c>
      <c r="S22" s="21">
        <f ca="1">SUM(S24:S10000)</f>
        <v>2012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301</v>
      </c>
      <c r="B24" s="632">
        <f>'数据-基础表'!I13</f>
        <v>337.82</v>
      </c>
      <c r="C24" s="2570">
        <v>1</v>
      </c>
      <c r="D24" s="2571"/>
      <c r="E24" s="2570">
        <v>1</v>
      </c>
      <c r="F24" s="2571"/>
      <c r="G24" s="2570">
        <v>1</v>
      </c>
      <c r="H24" s="2571"/>
      <c r="I24" s="2570">
        <v>1</v>
      </c>
      <c r="J24" s="2571"/>
      <c r="K24" s="2570">
        <v>1</v>
      </c>
      <c r="L24" s="2571"/>
      <c r="M24" s="2570">
        <v>1</v>
      </c>
      <c r="N24" s="2571"/>
      <c r="O24" s="2570">
        <v>1</v>
      </c>
      <c r="P24" s="2571"/>
      <c r="Q24" s="2570">
        <v>1</v>
      </c>
      <c r="R24" s="632">
        <f ca="1">结果表!G20</f>
        <v>18801</v>
      </c>
      <c r="S24" s="633">
        <f t="shared" ref="S24:S54" ca="1" si="11">ROUND(R24*B24/10000,0)</f>
        <v>635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302</v>
      </c>
      <c r="B25" s="632">
        <f>'数据-基础表'!I14</f>
        <v>336.14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18801</v>
      </c>
      <c r="S25" s="308">
        <f t="shared" ca="1" si="11"/>
        <v>632</v>
      </c>
    </row>
    <row r="26" spans="1:45">
      <c r="A26" s="632">
        <f>'数据-基础表'!C15</f>
        <v>401</v>
      </c>
      <c r="B26" s="632">
        <f>'数据-基础表'!I15</f>
        <v>198.85</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18801</v>
      </c>
      <c r="S26" s="308">
        <f t="shared" ca="1" si="11"/>
        <v>374</v>
      </c>
    </row>
    <row r="27" spans="1:45">
      <c r="A27" s="632">
        <f>'数据-基础表'!C16</f>
        <v>402</v>
      </c>
      <c r="B27" s="632">
        <f>'数据-基础表'!I16</f>
        <v>197.18</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18801</v>
      </c>
      <c r="S27" s="308">
        <f t="shared" ca="1" si="11"/>
        <v>371</v>
      </c>
    </row>
    <row r="28" spans="1:45">
      <c r="A28" s="63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63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63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50"/>
      <c r="B4" s="3451"/>
      <c r="C4" s="3451"/>
      <c r="D4" s="3452"/>
      <c r="E4" s="3452"/>
      <c r="F4" s="3452"/>
      <c r="G4" s="3452"/>
      <c r="H4" s="3452"/>
      <c r="I4" s="3452"/>
      <c r="J4" s="345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47" t="s">
        <v>1960</v>
      </c>
      <c r="X8" s="344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49"/>
      <c r="X9" s="3064" t="s">
        <v>3260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c r="D12" s="3015" t="s">
        <v>3232</v>
      </c>
      <c r="E12" s="3016" t="s">
        <v>3233</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3235</v>
      </c>
      <c r="G14" s="3020" t="s">
        <v>3235</v>
      </c>
      <c r="H14" s="3020" t="s">
        <v>3235</v>
      </c>
      <c r="I14" s="3020" t="s">
        <v>3235</v>
      </c>
      <c r="J14" s="3020" t="s">
        <v>3235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t="e">
        <f>ROUND(G18/I18,2)</f>
        <v>#DIV/0!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4" t="s">
        <v>3246</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8" t="s">
        <v>3248</v>
      </c>
      <c r="I23" s="3049" t="str">
        <f>IF(H23="季度增幅（自定义）",SUMIF(N25:N28,E2,O25:O28),"")</f>
        <v/>
      </c>
      <c r="J23" s="3141" t="s">
        <v>3247</v>
      </c>
      <c r="K23" s="1060"/>
      <c r="L23" s="1896" t="s">
        <v>2004</v>
      </c>
      <c r="M23" s="1240">
        <f>ROUND(SUMIF(地价!B2:G2,E2,地价!B16:G16),0)</f>
        <v>0</v>
      </c>
      <c r="N23" s="1897" t="s">
        <v>2005</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存贷款利率!E26/100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3327</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3252</v>
      </c>
      <c r="G33" s="1940"/>
      <c r="H33" s="1940"/>
      <c r="I33" s="1940"/>
      <c r="J33" s="1941"/>
      <c r="K33" s="1055"/>
      <c r="L33" s="3053" t="s">
        <v>3255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3257</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3258</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9"/>
      <c r="B39" s="1883" t="s">
        <v>3251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3259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3263</v>
      </c>
      <c r="B92" s="2309"/>
      <c r="C92" s="2309" t="s">
        <v>3272</v>
      </c>
      <c r="D92" s="2309" t="s">
        <v>3273</v>
      </c>
      <c r="E92" s="3052" t="s">
        <v>3274</v>
      </c>
      <c r="F92" s="3082" t="s">
        <v>3275</v>
      </c>
      <c r="G92" s="2309" t="s">
        <v>3276</v>
      </c>
      <c r="H92" s="3089" t="s">
        <v>3279</v>
      </c>
      <c r="I92" s="2309" t="s">
        <v>3280</v>
      </c>
      <c r="J92" s="2149" t="s">
        <v>3281</v>
      </c>
      <c r="K92" s="2149" t="s">
        <v>3282</v>
      </c>
      <c r="L92" s="2149" t="s">
        <v>3283</v>
      </c>
      <c r="M92" s="2149" t="s">
        <v>3284</v>
      </c>
      <c r="N92" s="2149" t="s">
        <v>3285</v>
      </c>
    </row>
    <row r="93" spans="1:37" ht="24">
      <c r="A93" s="3070" t="s">
        <v>3264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3265</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3266</v>
      </c>
      <c r="B96" s="3086" t="s">
        <v>3277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3268</v>
      </c>
      <c r="B98" s="3087" t="s">
        <v>3278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3269</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3270</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3271</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3286</v>
      </c>
      <c r="B103" s="3456"/>
      <c r="C103" s="3456"/>
      <c r="D103" s="3456"/>
      <c r="E103" s="3456"/>
      <c r="F103" s="3456"/>
      <c r="G103" s="3456"/>
      <c r="H103" s="3456"/>
      <c r="I103" s="3456"/>
      <c r="J103" s="3456"/>
      <c r="K103" s="1666"/>
      <c r="L103" s="1666"/>
      <c r="M103" s="1666"/>
      <c r="N103" s="1666"/>
    </row>
    <row r="104" spans="1:14">
      <c r="A104" s="3457" t="s">
        <v>3287</v>
      </c>
      <c r="B104" s="3457" t="s">
        <v>3288</v>
      </c>
      <c r="C104" s="3090" t="s">
        <v>3289</v>
      </c>
      <c r="D104" s="3091"/>
      <c r="E104" s="3091"/>
      <c r="F104" s="3091"/>
      <c r="G104" s="3091"/>
      <c r="H104" s="3091"/>
      <c r="I104" s="3091"/>
      <c r="J104" s="3092"/>
      <c r="K104" s="3093"/>
      <c r="L104" s="3093"/>
      <c r="M104" s="3093"/>
      <c r="N104" s="3093"/>
    </row>
    <row r="105" spans="1:14">
      <c r="A105" s="3457"/>
      <c r="B105" s="3457"/>
      <c r="C105" s="3094" t="s">
        <v>3290</v>
      </c>
      <c r="D105" s="3094" t="s">
        <v>3291</v>
      </c>
      <c r="E105" s="3094" t="s">
        <v>3292</v>
      </c>
      <c r="F105" s="3094" t="s">
        <v>3293</v>
      </c>
      <c r="G105" s="3094" t="s">
        <v>3294</v>
      </c>
      <c r="H105" s="3094" t="s">
        <v>3295</v>
      </c>
      <c r="I105" s="3094" t="s">
        <v>3296</v>
      </c>
      <c r="J105" s="3094" t="s">
        <v>3297</v>
      </c>
      <c r="K105" s="3094" t="s">
        <v>3298</v>
      </c>
      <c r="L105" s="3094" t="s">
        <v>3299</v>
      </c>
      <c r="M105" s="3094" t="s">
        <v>3300</v>
      </c>
      <c r="N105" s="3094" t="s">
        <v>3301</v>
      </c>
    </row>
    <row r="106" spans="1:14">
      <c r="A106" s="3443" t="s">
        <v>3302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3260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3303</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3304</v>
      </c>
      <c r="B116" s="3114">
        <f>G3</f>
        <v>0</v>
      </c>
      <c r="C116" s="3099" t="s">
        <v>3305</v>
      </c>
      <c r="D116" s="3100">
        <f>SUMPRODUCT((A118:A122=F116)*(B117:M117=H116)*B118:M122)</f>
        <v>0</v>
      </c>
      <c r="E116" s="162" t="s">
        <v>3306</v>
      </c>
      <c r="F116" s="3101">
        <f>E2</f>
        <v>0</v>
      </c>
      <c r="G116" s="162" t="s">
        <v>3307</v>
      </c>
      <c r="H116" s="3101">
        <f>G2</f>
        <v>0</v>
      </c>
      <c r="I116" s="162"/>
      <c r="J116" s="3102"/>
      <c r="K116" s="3102"/>
      <c r="L116" s="3102"/>
      <c r="M116" s="3102"/>
      <c r="N116" s="3097"/>
    </row>
    <row r="117" spans="1:14">
      <c r="A117" s="3103"/>
      <c r="B117" s="3104" t="s">
        <v>3308</v>
      </c>
      <c r="C117" s="3104" t="s">
        <v>3309</v>
      </c>
      <c r="D117" s="3104" t="s">
        <v>3310</v>
      </c>
      <c r="E117" s="3105" t="s">
        <v>3311</v>
      </c>
      <c r="F117" s="3105" t="s">
        <v>3312</v>
      </c>
      <c r="G117" s="3105" t="s">
        <v>3313</v>
      </c>
      <c r="H117" s="3106" t="s">
        <v>3314</v>
      </c>
      <c r="I117" s="3106" t="s">
        <v>3315</v>
      </c>
      <c r="J117" s="3107" t="s">
        <v>3316</v>
      </c>
      <c r="K117" s="3107" t="s">
        <v>3317</v>
      </c>
      <c r="L117" s="3107" t="s">
        <v>3318</v>
      </c>
      <c r="M117" s="3108" t="s">
        <v>3319</v>
      </c>
      <c r="N117" s="3097"/>
    </row>
    <row r="118" spans="1:14">
      <c r="A118" s="3057" t="s">
        <v>3320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69" t="s">
        <v>2599</v>
      </c>
      <c r="B20" s="3462" t="s">
        <v>2620</v>
      </c>
      <c r="C20" s="2842" t="s">
        <v>2431</v>
      </c>
      <c r="D20" s="2843"/>
      <c r="E20" s="2844">
        <v>1</v>
      </c>
      <c r="F20" s="2845" t="s">
        <v>2432</v>
      </c>
      <c r="G20" s="2845"/>
    </row>
    <row r="21" spans="1:13" ht="19.5" customHeight="1">
      <c r="A21" s="3470"/>
      <c r="B21" s="3463"/>
      <c r="C21" s="2846" t="s">
        <v>2433</v>
      </c>
      <c r="D21" s="2847"/>
      <c r="E21" s="2848">
        <v>1</v>
      </c>
      <c r="F21" s="2845" t="s">
        <v>2434</v>
      </c>
      <c r="G21" s="2845"/>
    </row>
    <row r="22" spans="1:13" ht="19.5" customHeight="1">
      <c r="A22" s="3470"/>
      <c r="B22" s="3463"/>
      <c r="C22" s="2846" t="s">
        <v>2435</v>
      </c>
      <c r="D22" s="2847"/>
      <c r="E22" s="2848">
        <v>0.9</v>
      </c>
      <c r="F22" s="2845" t="s">
        <v>2436</v>
      </c>
      <c r="G22" s="2845"/>
    </row>
    <row r="23" spans="1:13" ht="19.5" customHeight="1">
      <c r="A23" s="3470"/>
      <c r="B23" s="3463"/>
      <c r="C23" s="2846" t="s">
        <v>2437</v>
      </c>
      <c r="D23" s="2847"/>
      <c r="E23" s="2848">
        <v>0.9</v>
      </c>
      <c r="F23" s="2845" t="s">
        <v>2438</v>
      </c>
      <c r="G23" s="2845"/>
    </row>
    <row r="24" spans="1:13" ht="19.5" customHeight="1">
      <c r="A24" s="3470"/>
      <c r="B24" s="3463"/>
      <c r="C24" s="2846" t="s">
        <v>2439</v>
      </c>
      <c r="D24" s="2847"/>
      <c r="E24" s="2848">
        <v>0.8</v>
      </c>
      <c r="F24" s="2845" t="s">
        <v>2440</v>
      </c>
      <c r="G24" s="2845"/>
    </row>
    <row r="25" spans="1:13" ht="19.5" customHeight="1" thickBot="1">
      <c r="A25" s="3471"/>
      <c r="B25" s="3464"/>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65" t="s">
        <v>2623</v>
      </c>
      <c r="B27" s="3462" t="s">
        <v>2604</v>
      </c>
      <c r="C27" s="2842" t="s">
        <v>2444</v>
      </c>
      <c r="D27" s="2843"/>
      <c r="E27" s="2844">
        <v>1</v>
      </c>
      <c r="F27" s="2845" t="s">
        <v>2445</v>
      </c>
      <c r="G27" s="2845"/>
    </row>
    <row r="28" spans="1:13" ht="19.5" customHeight="1">
      <c r="A28" s="3466"/>
      <c r="B28" s="3463"/>
      <c r="C28" s="2846" t="s">
        <v>2446</v>
      </c>
      <c r="D28" s="2847"/>
      <c r="E28" s="2848">
        <v>1</v>
      </c>
      <c r="F28" s="2845" t="s">
        <v>2447</v>
      </c>
      <c r="G28" s="2845"/>
    </row>
    <row r="29" spans="1:13" ht="19.5" customHeight="1">
      <c r="A29" s="3466"/>
      <c r="B29" s="3463"/>
      <c r="C29" s="2846" t="s">
        <v>2448</v>
      </c>
      <c r="D29" s="2847"/>
      <c r="E29" s="2848">
        <v>0.8</v>
      </c>
      <c r="F29" s="2845" t="s">
        <v>2449</v>
      </c>
      <c r="G29" s="2845"/>
    </row>
    <row r="30" spans="1:13" ht="19.5" customHeight="1">
      <c r="A30" s="3466"/>
      <c r="B30" s="3463"/>
      <c r="C30" s="2846" t="s">
        <v>2450</v>
      </c>
      <c r="D30" s="2847"/>
      <c r="E30" s="2848">
        <v>0.8</v>
      </c>
      <c r="F30" s="2845" t="s">
        <v>2451</v>
      </c>
      <c r="G30" s="2845"/>
    </row>
    <row r="31" spans="1:13" ht="19.5" customHeight="1">
      <c r="A31" s="3466"/>
      <c r="B31" s="3463"/>
      <c r="C31" s="2846" t="s">
        <v>2452</v>
      </c>
      <c r="D31" s="2847"/>
      <c r="E31" s="2848">
        <v>0.8</v>
      </c>
      <c r="F31" s="2845" t="s">
        <v>2453</v>
      </c>
      <c r="G31" s="2845"/>
    </row>
    <row r="32" spans="1:13" ht="19.5" customHeight="1">
      <c r="A32" s="3466"/>
      <c r="B32" s="3463"/>
      <c r="C32" s="2846" t="s">
        <v>2454</v>
      </c>
      <c r="D32" s="2847"/>
      <c r="E32" s="2848">
        <v>0.7</v>
      </c>
      <c r="F32" s="2845" t="s">
        <v>2455</v>
      </c>
      <c r="G32" s="2845"/>
    </row>
    <row r="33" spans="1:7" ht="19.5" customHeight="1">
      <c r="A33" s="3466"/>
      <c r="B33" s="3463"/>
      <c r="C33" s="2846" t="s">
        <v>2456</v>
      </c>
      <c r="D33" s="2847"/>
      <c r="E33" s="2848">
        <v>0.8</v>
      </c>
      <c r="F33" s="2845" t="s">
        <v>2457</v>
      </c>
      <c r="G33" s="2845"/>
    </row>
    <row r="34" spans="1:7" ht="19.5" customHeight="1">
      <c r="A34" s="3466"/>
      <c r="B34" s="3463"/>
      <c r="C34" s="2846" t="s">
        <v>2458</v>
      </c>
      <c r="D34" s="2847"/>
      <c r="E34" s="2848">
        <v>0.6</v>
      </c>
      <c r="F34" s="2845" t="s">
        <v>2459</v>
      </c>
      <c r="G34" s="2845"/>
    </row>
    <row r="35" spans="1:7" ht="19.5" customHeight="1">
      <c r="A35" s="3466"/>
      <c r="B35" s="3463"/>
      <c r="C35" s="2846" t="s">
        <v>2460</v>
      </c>
      <c r="D35" s="2847"/>
      <c r="E35" s="2848">
        <v>0.2</v>
      </c>
      <c r="F35" s="2845" t="s">
        <v>2461</v>
      </c>
      <c r="G35" s="2845"/>
    </row>
    <row r="36" spans="1:7" ht="19.5" customHeight="1">
      <c r="A36" s="3466"/>
      <c r="B36" s="3463"/>
      <c r="C36" s="2846" t="s">
        <v>2462</v>
      </c>
      <c r="D36" s="2847"/>
      <c r="E36" s="2848">
        <v>0.2</v>
      </c>
      <c r="F36" s="2845" t="s">
        <v>2463</v>
      </c>
      <c r="G36" s="2845"/>
    </row>
    <row r="37" spans="1:7" ht="19.5" customHeight="1">
      <c r="A37" s="3466"/>
      <c r="B37" s="3468" t="s">
        <v>2624</v>
      </c>
      <c r="C37" s="2846" t="s">
        <v>2464</v>
      </c>
      <c r="D37" s="2847"/>
      <c r="E37" s="2848">
        <v>0.6</v>
      </c>
      <c r="F37" s="2845" t="s">
        <v>2465</v>
      </c>
      <c r="G37" s="2845"/>
    </row>
    <row r="38" spans="1:7" ht="19.5" customHeight="1">
      <c r="A38" s="3466"/>
      <c r="B38" s="3463"/>
      <c r="C38" s="2846" t="s">
        <v>2466</v>
      </c>
      <c r="D38" s="2847"/>
      <c r="E38" s="2848">
        <v>0.6</v>
      </c>
      <c r="F38" s="2845" t="s">
        <v>2467</v>
      </c>
      <c r="G38" s="2845"/>
    </row>
    <row r="39" spans="1:7" ht="19.5" customHeight="1" thickBot="1">
      <c r="A39" s="3467"/>
      <c r="B39" s="3464"/>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69" t="s">
        <v>2602</v>
      </c>
      <c r="B41" s="3462" t="s">
        <v>2626</v>
      </c>
      <c r="C41" s="2842" t="s">
        <v>2471</v>
      </c>
      <c r="D41" s="2843"/>
      <c r="E41" s="2844">
        <v>1</v>
      </c>
      <c r="F41" s="2845" t="s">
        <v>2472</v>
      </c>
      <c r="G41" s="2845"/>
    </row>
    <row r="42" spans="1:7" ht="19.5" customHeight="1">
      <c r="A42" s="3470"/>
      <c r="B42" s="3463"/>
      <c r="C42" s="2846" t="s">
        <v>2473</v>
      </c>
      <c r="D42" s="2847"/>
      <c r="E42" s="2848">
        <v>1</v>
      </c>
      <c r="F42" s="2845" t="s">
        <v>2474</v>
      </c>
      <c r="G42" s="2845"/>
    </row>
    <row r="43" spans="1:7" ht="19.5" customHeight="1">
      <c r="A43" s="3470"/>
      <c r="B43" s="3472"/>
      <c r="C43" s="2846" t="s">
        <v>2475</v>
      </c>
      <c r="D43" s="2847"/>
      <c r="E43" s="2848">
        <v>1.5</v>
      </c>
      <c r="F43" s="2845" t="s">
        <v>2476</v>
      </c>
      <c r="G43" s="2845"/>
    </row>
    <row r="44" spans="1:7" ht="19.5" customHeight="1">
      <c r="A44" s="3470"/>
      <c r="B44" s="2857" t="s">
        <v>2627</v>
      </c>
      <c r="C44" s="2846" t="s">
        <v>2628</v>
      </c>
      <c r="D44" s="2847"/>
      <c r="E44" s="2848">
        <v>2</v>
      </c>
      <c r="F44" s="2845" t="s">
        <v>2477</v>
      </c>
      <c r="G44" s="2845"/>
    </row>
    <row r="45" spans="1:7" ht="19.5" customHeight="1">
      <c r="A45" s="3470"/>
      <c r="B45" s="3468" t="s">
        <v>2629</v>
      </c>
      <c r="C45" s="2846" t="s">
        <v>2478</v>
      </c>
      <c r="D45" s="2847"/>
      <c r="E45" s="2848">
        <v>1</v>
      </c>
      <c r="F45" s="2845" t="s">
        <v>2479</v>
      </c>
      <c r="G45" s="2845"/>
    </row>
    <row r="46" spans="1:7" ht="19.5" customHeight="1">
      <c r="A46" s="3470"/>
      <c r="B46" s="3463"/>
      <c r="C46" s="2846" t="s">
        <v>2480</v>
      </c>
      <c r="D46" s="2847"/>
      <c r="E46" s="2848">
        <v>1</v>
      </c>
      <c r="F46" s="2845" t="s">
        <v>2481</v>
      </c>
      <c r="G46" s="2845"/>
    </row>
    <row r="47" spans="1:7" ht="19.5" customHeight="1">
      <c r="A47" s="3470"/>
      <c r="B47" s="3463"/>
      <c r="C47" s="2846" t="s">
        <v>2482</v>
      </c>
      <c r="D47" s="2847"/>
      <c r="E47" s="2848">
        <v>1</v>
      </c>
      <c r="F47" s="2845" t="s">
        <v>2483</v>
      </c>
      <c r="G47" s="2845"/>
    </row>
    <row r="48" spans="1:7" ht="19.5" customHeight="1">
      <c r="A48" s="3470"/>
      <c r="B48" s="3463"/>
      <c r="C48" s="2846" t="s">
        <v>2484</v>
      </c>
      <c r="D48" s="2847"/>
      <c r="E48" s="2848">
        <v>1</v>
      </c>
      <c r="F48" s="2845" t="s">
        <v>2485</v>
      </c>
      <c r="G48" s="2845"/>
    </row>
    <row r="49" spans="1:7" ht="19.5" customHeight="1">
      <c r="A49" s="3470"/>
      <c r="B49" s="3463"/>
      <c r="C49" s="2846" t="s">
        <v>2486</v>
      </c>
      <c r="D49" s="2847"/>
      <c r="E49" s="2848">
        <v>1</v>
      </c>
      <c r="F49" s="2845" t="s">
        <v>2487</v>
      </c>
      <c r="G49" s="2845"/>
    </row>
    <row r="50" spans="1:7" ht="19.5" customHeight="1">
      <c r="A50" s="3470"/>
      <c r="B50" s="3463"/>
      <c r="C50" s="2846" t="s">
        <v>2488</v>
      </c>
      <c r="D50" s="2847"/>
      <c r="E50" s="2848">
        <v>1</v>
      </c>
      <c r="F50" s="2845" t="s">
        <v>2489</v>
      </c>
      <c r="G50" s="2845"/>
    </row>
    <row r="51" spans="1:7" ht="19.5" customHeight="1" thickBot="1">
      <c r="A51" s="3471"/>
      <c r="B51" s="3464"/>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8" t="s">
        <v>2643</v>
      </c>
      <c r="C73" s="2831" t="s">
        <v>2644</v>
      </c>
      <c r="D73" s="2831" t="s">
        <v>2645</v>
      </c>
      <c r="E73" s="2857">
        <v>0.2</v>
      </c>
      <c r="F73" s="2857">
        <v>25</v>
      </c>
    </row>
    <row r="74" spans="1:7" ht="24">
      <c r="A74" s="2857">
        <v>2</v>
      </c>
      <c r="B74" s="3463"/>
      <c r="C74" s="2831" t="s">
        <v>2646</v>
      </c>
      <c r="D74" s="2831" t="s">
        <v>2647</v>
      </c>
      <c r="E74" s="2857">
        <v>0.2</v>
      </c>
      <c r="F74" s="2857">
        <v>25</v>
      </c>
    </row>
    <row r="75" spans="1:7" ht="24">
      <c r="A75" s="2857">
        <v>3</v>
      </c>
      <c r="B75" s="3463"/>
      <c r="C75" s="2831" t="s">
        <v>2648</v>
      </c>
      <c r="D75" s="2831" t="s">
        <v>2649</v>
      </c>
      <c r="E75" s="2857">
        <v>0.2</v>
      </c>
      <c r="F75" s="2857">
        <v>25</v>
      </c>
    </row>
    <row r="76" spans="1:7" ht="13.5">
      <c r="A76" s="2857">
        <v>4</v>
      </c>
      <c r="B76" s="3463"/>
      <c r="C76" s="2831" t="s">
        <v>2650</v>
      </c>
      <c r="D76" s="2831" t="s">
        <v>2651</v>
      </c>
      <c r="E76" s="2857">
        <v>0.15</v>
      </c>
      <c r="F76" s="2857">
        <v>20</v>
      </c>
    </row>
    <row r="77" spans="1:7" ht="24">
      <c r="A77" s="2857">
        <v>5</v>
      </c>
      <c r="B77" s="3463"/>
      <c r="C77" s="2831" t="s">
        <v>2652</v>
      </c>
      <c r="D77" s="2831" t="s">
        <v>2653</v>
      </c>
      <c r="E77" s="2857">
        <v>0.15</v>
      </c>
      <c r="F77" s="2857">
        <v>20</v>
      </c>
    </row>
    <row r="78" spans="1:7" ht="24">
      <c r="A78" s="2857">
        <v>6</v>
      </c>
      <c r="B78" s="3463"/>
      <c r="C78" s="2831" t="s">
        <v>2654</v>
      </c>
      <c r="D78" s="2831" t="s">
        <v>2655</v>
      </c>
      <c r="E78" s="2857">
        <v>0.15</v>
      </c>
      <c r="F78" s="2857">
        <v>20</v>
      </c>
    </row>
    <row r="79" spans="1:7" ht="24">
      <c r="A79" s="2857">
        <v>7</v>
      </c>
      <c r="B79" s="3463"/>
      <c r="C79" s="2831" t="s">
        <v>2656</v>
      </c>
      <c r="D79" s="2831" t="s">
        <v>2657</v>
      </c>
      <c r="E79" s="2857">
        <v>0.15</v>
      </c>
      <c r="F79" s="2857">
        <v>20</v>
      </c>
    </row>
    <row r="80" spans="1:7" ht="24">
      <c r="A80" s="2857">
        <v>8</v>
      </c>
      <c r="B80" s="3463"/>
      <c r="C80" s="2831" t="s">
        <v>2658</v>
      </c>
      <c r="D80" s="2831" t="s">
        <v>2659</v>
      </c>
      <c r="E80" s="2857">
        <v>0.1</v>
      </c>
      <c r="F80" s="2857">
        <v>15</v>
      </c>
    </row>
    <row r="81" spans="1:6" ht="24">
      <c r="A81" s="2857">
        <v>9</v>
      </c>
      <c r="B81" s="3463"/>
      <c r="C81" s="2831" t="s">
        <v>2660</v>
      </c>
      <c r="D81" s="2831" t="s">
        <v>2661</v>
      </c>
      <c r="E81" s="2857">
        <v>0.1</v>
      </c>
      <c r="F81" s="2857">
        <v>15</v>
      </c>
    </row>
    <row r="82" spans="1:6" ht="24">
      <c r="A82" s="2857">
        <v>10</v>
      </c>
      <c r="B82" s="3463"/>
      <c r="C82" s="2831" t="s">
        <v>2662</v>
      </c>
      <c r="D82" s="2831" t="s">
        <v>2663</v>
      </c>
      <c r="E82" s="2857">
        <v>0.1</v>
      </c>
      <c r="F82" s="2857">
        <v>15</v>
      </c>
    </row>
    <row r="83" spans="1:6" ht="24">
      <c r="A83" s="2857">
        <v>11</v>
      </c>
      <c r="B83" s="3463"/>
      <c r="C83" s="2831" t="s">
        <v>2664</v>
      </c>
      <c r="D83" s="2831" t="s">
        <v>2665</v>
      </c>
      <c r="E83" s="2857">
        <v>0.1</v>
      </c>
      <c r="F83" s="2857">
        <v>15</v>
      </c>
    </row>
    <row r="84" spans="1:6" ht="24">
      <c r="A84" s="2857">
        <v>12</v>
      </c>
      <c r="B84" s="3463"/>
      <c r="C84" s="2831" t="s">
        <v>2666</v>
      </c>
      <c r="D84" s="2831" t="s">
        <v>2667</v>
      </c>
      <c r="E84" s="2857">
        <v>0.1</v>
      </c>
      <c r="F84" s="2857">
        <v>15</v>
      </c>
    </row>
    <row r="85" spans="1:6" ht="13.5">
      <c r="A85" s="2857">
        <v>13</v>
      </c>
      <c r="B85" s="3463"/>
      <c r="C85" s="2831" t="s">
        <v>2668</v>
      </c>
      <c r="D85" s="2831" t="s">
        <v>2669</v>
      </c>
      <c r="E85" s="2857">
        <v>0.1</v>
      </c>
      <c r="F85" s="2857">
        <v>15</v>
      </c>
    </row>
    <row r="86" spans="1:6" ht="13.5">
      <c r="A86" s="2857">
        <v>14</v>
      </c>
      <c r="B86" s="3463"/>
      <c r="C86" s="2831" t="s">
        <v>2670</v>
      </c>
      <c r="D86" s="2831" t="s">
        <v>2671</v>
      </c>
      <c r="E86" s="2857">
        <v>0.1</v>
      </c>
      <c r="F86" s="2857">
        <v>15</v>
      </c>
    </row>
    <row r="87" spans="1:6" ht="13.5">
      <c r="A87" s="2857">
        <v>15</v>
      </c>
      <c r="B87" s="3463"/>
      <c r="C87" s="2831" t="s">
        <v>2672</v>
      </c>
      <c r="D87" s="2831" t="s">
        <v>2673</v>
      </c>
      <c r="E87" s="2857">
        <v>0.1</v>
      </c>
      <c r="F87" s="2857">
        <v>15</v>
      </c>
    </row>
    <row r="88" spans="1:6" ht="24">
      <c r="A88" s="2857">
        <v>16</v>
      </c>
      <c r="B88" s="3463"/>
      <c r="C88" s="2831" t="s">
        <v>2674</v>
      </c>
      <c r="D88" s="2831" t="s">
        <v>2675</v>
      </c>
      <c r="E88" s="2857">
        <v>0.1</v>
      </c>
      <c r="F88" s="2857">
        <v>15</v>
      </c>
    </row>
    <row r="89" spans="1:6" ht="24">
      <c r="A89" s="2857">
        <v>17</v>
      </c>
      <c r="B89" s="3472"/>
      <c r="C89" s="2831" t="s">
        <v>2676</v>
      </c>
      <c r="D89" s="2831" t="s">
        <v>2677</v>
      </c>
      <c r="E89" s="2857">
        <v>0.1</v>
      </c>
      <c r="F89" s="2857">
        <v>15</v>
      </c>
    </row>
    <row r="90" spans="1:6" ht="13.5">
      <c r="A90" s="2857">
        <v>18</v>
      </c>
      <c r="B90" s="3468" t="s">
        <v>2678</v>
      </c>
      <c r="C90" s="2831" t="s">
        <v>2679</v>
      </c>
      <c r="D90" s="2831" t="s">
        <v>2680</v>
      </c>
      <c r="E90" s="2857">
        <v>0.2</v>
      </c>
      <c r="F90" s="2857">
        <v>25</v>
      </c>
    </row>
    <row r="91" spans="1:6" ht="24">
      <c r="A91" s="2857">
        <v>19</v>
      </c>
      <c r="B91" s="3463"/>
      <c r="C91" s="2831" t="s">
        <v>2681</v>
      </c>
      <c r="D91" s="2831" t="s">
        <v>2682</v>
      </c>
      <c r="E91" s="2857">
        <v>0.2</v>
      </c>
      <c r="F91" s="2857">
        <v>25</v>
      </c>
    </row>
    <row r="92" spans="1:6" ht="13.5">
      <c r="A92" s="2857">
        <v>20</v>
      </c>
      <c r="B92" s="3463"/>
      <c r="C92" s="2831" t="s">
        <v>2683</v>
      </c>
      <c r="D92" s="2831" t="s">
        <v>2684</v>
      </c>
      <c r="E92" s="2857">
        <v>0.15</v>
      </c>
      <c r="F92" s="2857">
        <v>20</v>
      </c>
    </row>
    <row r="93" spans="1:6" ht="13.5">
      <c r="A93" s="2857">
        <v>21</v>
      </c>
      <c r="B93" s="3463"/>
      <c r="C93" s="2831" t="s">
        <v>2685</v>
      </c>
      <c r="D93" s="2831" t="s">
        <v>2686</v>
      </c>
      <c r="E93" s="2857">
        <v>0.15</v>
      </c>
      <c r="F93" s="2857">
        <v>20</v>
      </c>
    </row>
    <row r="94" spans="1:6" ht="13.5">
      <c r="A94" s="2857">
        <v>22</v>
      </c>
      <c r="B94" s="3463"/>
      <c r="C94" s="2831" t="s">
        <v>2687</v>
      </c>
      <c r="D94" s="2831" t="s">
        <v>2688</v>
      </c>
      <c r="E94" s="2857">
        <v>0.15</v>
      </c>
      <c r="F94" s="2857">
        <v>20</v>
      </c>
    </row>
    <row r="95" spans="1:6" ht="36">
      <c r="A95" s="2857">
        <v>23</v>
      </c>
      <c r="B95" s="3463"/>
      <c r="C95" s="2831" t="s">
        <v>2689</v>
      </c>
      <c r="D95" s="2831" t="s">
        <v>2690</v>
      </c>
      <c r="E95" s="2857">
        <v>0.15</v>
      </c>
      <c r="F95" s="2857">
        <v>20</v>
      </c>
    </row>
    <row r="96" spans="1:6" ht="13.5">
      <c r="A96" s="2857">
        <v>24</v>
      </c>
      <c r="B96" s="3463"/>
      <c r="C96" s="2831" t="s">
        <v>2691</v>
      </c>
      <c r="D96" s="2831" t="s">
        <v>2692</v>
      </c>
      <c r="E96" s="2857">
        <v>0.1</v>
      </c>
      <c r="F96" s="2857">
        <v>15</v>
      </c>
    </row>
    <row r="97" spans="1:6" ht="13.5">
      <c r="A97" s="2857">
        <v>25</v>
      </c>
      <c r="B97" s="3463"/>
      <c r="C97" s="2831" t="s">
        <v>2693</v>
      </c>
      <c r="D97" s="2831" t="s">
        <v>2694</v>
      </c>
      <c r="E97" s="2857">
        <v>0.1</v>
      </c>
      <c r="F97" s="2857">
        <v>15</v>
      </c>
    </row>
    <row r="98" spans="1:6" ht="24">
      <c r="A98" s="2857">
        <v>26</v>
      </c>
      <c r="B98" s="3463"/>
      <c r="C98" s="2831" t="s">
        <v>2695</v>
      </c>
      <c r="D98" s="2831" t="s">
        <v>2696</v>
      </c>
      <c r="E98" s="2857">
        <v>0.1</v>
      </c>
      <c r="F98" s="2857">
        <v>15</v>
      </c>
    </row>
    <row r="99" spans="1:6" ht="24">
      <c r="A99" s="2857">
        <v>27</v>
      </c>
      <c r="B99" s="3463"/>
      <c r="C99" s="2831" t="s">
        <v>2697</v>
      </c>
      <c r="D99" s="2831" t="s">
        <v>2698</v>
      </c>
      <c r="E99" s="2857">
        <v>0.1</v>
      </c>
      <c r="F99" s="2857">
        <v>15</v>
      </c>
    </row>
    <row r="100" spans="1:6" ht="13.5">
      <c r="A100" s="2857">
        <v>28</v>
      </c>
      <c r="B100" s="3463"/>
      <c r="C100" s="2831" t="s">
        <v>2699</v>
      </c>
      <c r="D100" s="2831" t="s">
        <v>2700</v>
      </c>
      <c r="E100" s="2857">
        <v>0.1</v>
      </c>
      <c r="F100" s="2857">
        <v>15</v>
      </c>
    </row>
    <row r="101" spans="1:6" ht="13.5">
      <c r="A101" s="2857">
        <v>29</v>
      </c>
      <c r="B101" s="3463"/>
      <c r="C101" s="2831" t="s">
        <v>2701</v>
      </c>
      <c r="D101" s="2831" t="s">
        <v>2702</v>
      </c>
      <c r="E101" s="2857">
        <v>0.1</v>
      </c>
      <c r="F101" s="2857">
        <v>15</v>
      </c>
    </row>
    <row r="102" spans="1:6" ht="13.5">
      <c r="A102" s="2857">
        <v>30</v>
      </c>
      <c r="B102" s="3463"/>
      <c r="C102" s="2831" t="s">
        <v>2703</v>
      </c>
      <c r="D102" s="2831" t="s">
        <v>2704</v>
      </c>
      <c r="E102" s="2857">
        <v>0.1</v>
      </c>
      <c r="F102" s="2857">
        <v>15</v>
      </c>
    </row>
    <row r="103" spans="1:6" ht="24">
      <c r="A103" s="2857">
        <v>31</v>
      </c>
      <c r="B103" s="3463"/>
      <c r="C103" s="2831" t="s">
        <v>2705</v>
      </c>
      <c r="D103" s="2831" t="s">
        <v>2706</v>
      </c>
      <c r="E103" s="2857">
        <v>0.1</v>
      </c>
      <c r="F103" s="2857">
        <v>15</v>
      </c>
    </row>
    <row r="104" spans="1:6" ht="24">
      <c r="A104" s="2857">
        <v>32</v>
      </c>
      <c r="B104" s="3463"/>
      <c r="C104" s="2831" t="s">
        <v>2707</v>
      </c>
      <c r="D104" s="2831" t="s">
        <v>2708</v>
      </c>
      <c r="E104" s="2857">
        <v>0.1</v>
      </c>
      <c r="F104" s="2857">
        <v>15</v>
      </c>
    </row>
    <row r="105" spans="1:6" ht="24">
      <c r="A105" s="2857">
        <v>33</v>
      </c>
      <c r="B105" s="3463"/>
      <c r="C105" s="2831" t="s">
        <v>2709</v>
      </c>
      <c r="D105" s="2831" t="s">
        <v>2710</v>
      </c>
      <c r="E105" s="2857">
        <v>0.1</v>
      </c>
      <c r="F105" s="2857">
        <v>15</v>
      </c>
    </row>
    <row r="106" spans="1:6" ht="24">
      <c r="A106" s="2857">
        <v>34</v>
      </c>
      <c r="B106" s="3472"/>
      <c r="C106" s="2831" t="s">
        <v>2711</v>
      </c>
      <c r="D106" s="2831" t="s">
        <v>2712</v>
      </c>
      <c r="E106" s="2857">
        <v>0.1</v>
      </c>
      <c r="F106" s="2857">
        <v>15</v>
      </c>
    </row>
    <row r="107" spans="1:6" ht="24">
      <c r="A107" s="2857">
        <v>35</v>
      </c>
      <c r="B107" s="3468" t="s">
        <v>2713</v>
      </c>
      <c r="C107" s="2857" t="s">
        <v>2714</v>
      </c>
      <c r="D107" s="2831" t="s">
        <v>2715</v>
      </c>
      <c r="E107" s="2857">
        <v>0.15</v>
      </c>
      <c r="F107" s="2857">
        <v>20</v>
      </c>
    </row>
    <row r="108" spans="1:6" ht="13.5">
      <c r="A108" s="2857">
        <v>36</v>
      </c>
      <c r="B108" s="3463"/>
      <c r="C108" s="2857" t="s">
        <v>2716</v>
      </c>
      <c r="D108" s="2831" t="s">
        <v>2717</v>
      </c>
      <c r="E108" s="2857">
        <v>0.15</v>
      </c>
      <c r="F108" s="2857">
        <v>20</v>
      </c>
    </row>
    <row r="109" spans="1:6" ht="13.5">
      <c r="A109" s="2857">
        <v>37</v>
      </c>
      <c r="B109" s="3463"/>
      <c r="C109" s="2857" t="s">
        <v>2718</v>
      </c>
      <c r="D109" s="2831" t="s">
        <v>2719</v>
      </c>
      <c r="E109" s="2857">
        <v>0.15</v>
      </c>
      <c r="F109" s="2857">
        <v>20</v>
      </c>
    </row>
    <row r="110" spans="1:6" ht="13.5">
      <c r="A110" s="2857">
        <v>38</v>
      </c>
      <c r="B110" s="3463"/>
      <c r="C110" s="2857" t="s">
        <v>2720</v>
      </c>
      <c r="D110" s="2831" t="s">
        <v>2721</v>
      </c>
      <c r="E110" s="2857">
        <v>0.1</v>
      </c>
      <c r="F110" s="2857">
        <v>15</v>
      </c>
    </row>
    <row r="111" spans="1:6" ht="24">
      <c r="A111" s="2857">
        <v>39</v>
      </c>
      <c r="B111" s="3463"/>
      <c r="C111" s="2857" t="s">
        <v>2722</v>
      </c>
      <c r="D111" s="2831" t="s">
        <v>2723</v>
      </c>
      <c r="E111" s="2857">
        <v>0.1</v>
      </c>
      <c r="F111" s="2857">
        <v>15</v>
      </c>
    </row>
    <row r="112" spans="1:6" ht="24">
      <c r="A112" s="2857">
        <v>40</v>
      </c>
      <c r="B112" s="3472"/>
      <c r="C112" s="2857" t="s">
        <v>2724</v>
      </c>
      <c r="D112" s="2831" t="s">
        <v>2725</v>
      </c>
      <c r="E112" s="2857">
        <v>0.1</v>
      </c>
      <c r="F112" s="2857">
        <v>15</v>
      </c>
    </row>
    <row r="113" spans="1:6" ht="13.5">
      <c r="A113" s="2857">
        <v>41</v>
      </c>
      <c r="B113" s="3473" t="s">
        <v>2726</v>
      </c>
      <c r="C113" s="2857" t="s">
        <v>2727</v>
      </c>
      <c r="D113" s="2831" t="s">
        <v>2728</v>
      </c>
      <c r="E113" s="2857">
        <v>0.1</v>
      </c>
      <c r="F113" s="2857">
        <v>15</v>
      </c>
    </row>
    <row r="114" spans="1:6" ht="13.5">
      <c r="A114" s="2857">
        <v>42</v>
      </c>
      <c r="B114" s="3473"/>
      <c r="C114" s="2857" t="s">
        <v>2729</v>
      </c>
      <c r="D114" s="2831" t="s">
        <v>2730</v>
      </c>
      <c r="E114" s="2857">
        <v>0.1</v>
      </c>
      <c r="F114" s="2857">
        <v>15</v>
      </c>
    </row>
    <row r="115" spans="1:6" ht="24">
      <c r="A115" s="2857">
        <v>43</v>
      </c>
      <c r="B115" s="3473"/>
      <c r="C115" s="2857" t="s">
        <v>2731</v>
      </c>
      <c r="D115" s="2831" t="s">
        <v>2732</v>
      </c>
      <c r="E115" s="2857">
        <v>0.1</v>
      </c>
      <c r="F115" s="2857">
        <v>15</v>
      </c>
    </row>
    <row r="116" spans="1:6" ht="13.5">
      <c r="A116" s="2857">
        <v>44</v>
      </c>
      <c r="B116" s="3468" t="s">
        <v>2733</v>
      </c>
      <c r="C116" s="2857" t="s">
        <v>2734</v>
      </c>
      <c r="D116" s="2831" t="s">
        <v>2735</v>
      </c>
      <c r="E116" s="2857">
        <v>0.1</v>
      </c>
      <c r="F116" s="2857">
        <v>15</v>
      </c>
    </row>
    <row r="117" spans="1:6" ht="24">
      <c r="A117" s="2857">
        <v>45</v>
      </c>
      <c r="B117" s="3472"/>
      <c r="C117" s="2831" t="s">
        <v>2736</v>
      </c>
      <c r="D117" s="2831" t="s">
        <v>2737</v>
      </c>
      <c r="E117" s="2857">
        <v>0.1</v>
      </c>
      <c r="F117" s="2857">
        <v>15</v>
      </c>
    </row>
    <row r="118" spans="1:6" ht="24">
      <c r="A118" s="2857">
        <v>46</v>
      </c>
      <c r="B118" s="3468" t="s">
        <v>2738</v>
      </c>
      <c r="C118" s="2857" t="s">
        <v>2739</v>
      </c>
      <c r="D118" s="2831" t="s">
        <v>2740</v>
      </c>
      <c r="E118" s="2857">
        <v>0.1</v>
      </c>
      <c r="F118" s="2857">
        <v>15</v>
      </c>
    </row>
    <row r="119" spans="1:6" ht="24">
      <c r="A119" s="2857">
        <v>47</v>
      </c>
      <c r="B119" s="3472"/>
      <c r="C119" s="2857" t="s">
        <v>2741</v>
      </c>
      <c r="D119" s="2831" t="s">
        <v>2742</v>
      </c>
      <c r="E119" s="2857">
        <v>0.1</v>
      </c>
      <c r="F119" s="2857">
        <v>15</v>
      </c>
    </row>
    <row r="120" spans="1:6" ht="13.5">
      <c r="A120" s="2857">
        <v>48</v>
      </c>
      <c r="B120" s="3468" t="s">
        <v>2743</v>
      </c>
      <c r="C120" s="2857" t="s">
        <v>2744</v>
      </c>
      <c r="D120" s="2831" t="s">
        <v>2745</v>
      </c>
      <c r="E120" s="2857">
        <v>0.1</v>
      </c>
      <c r="F120" s="2857">
        <v>15</v>
      </c>
    </row>
    <row r="121" spans="1:6" ht="13.5">
      <c r="A121" s="2857">
        <v>49</v>
      </c>
      <c r="B121" s="3472"/>
      <c r="C121" s="2857" t="s">
        <v>2746</v>
      </c>
      <c r="D121" s="2831" t="s">
        <v>2747</v>
      </c>
      <c r="E121" s="2857">
        <v>0.1</v>
      </c>
      <c r="F121" s="2857">
        <v>15</v>
      </c>
    </row>
    <row r="122" spans="1:6" ht="24">
      <c r="A122" s="2857">
        <v>50</v>
      </c>
      <c r="B122" s="3473" t="s">
        <v>2748</v>
      </c>
      <c r="C122" s="2857" t="s">
        <v>2749</v>
      </c>
      <c r="D122" s="2831" t="s">
        <v>2750</v>
      </c>
      <c r="E122" s="2857">
        <v>0.1</v>
      </c>
      <c r="F122" s="2857">
        <v>15</v>
      </c>
    </row>
    <row r="123" spans="1:6" ht="24">
      <c r="A123" s="2857">
        <v>51</v>
      </c>
      <c r="B123" s="3473"/>
      <c r="C123" s="2857" t="s">
        <v>2751</v>
      </c>
      <c r="D123" s="2831" t="s">
        <v>2752</v>
      </c>
      <c r="E123" s="2857">
        <v>0.1</v>
      </c>
      <c r="F123" s="2857">
        <v>15</v>
      </c>
    </row>
    <row r="124" spans="1:6" ht="24">
      <c r="A124" s="2857">
        <v>52</v>
      </c>
      <c r="B124" s="3473" t="s">
        <v>2753</v>
      </c>
      <c r="C124" s="2857" t="s">
        <v>2754</v>
      </c>
      <c r="D124" s="2831" t="s">
        <v>2755</v>
      </c>
      <c r="E124" s="2857">
        <v>0.1</v>
      </c>
      <c r="F124" s="2857">
        <v>15</v>
      </c>
    </row>
    <row r="125" spans="1:6" ht="24">
      <c r="A125" s="2857">
        <v>53</v>
      </c>
      <c r="B125" s="3473"/>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73" t="s">
        <v>2761</v>
      </c>
      <c r="C127" s="2857" t="s">
        <v>2762</v>
      </c>
      <c r="D127" s="2831" t="s">
        <v>2763</v>
      </c>
      <c r="E127" s="2857">
        <v>0.1</v>
      </c>
      <c r="F127" s="2857">
        <v>15</v>
      </c>
    </row>
    <row r="128" spans="1:6" ht="13.5">
      <c r="A128" s="2857">
        <v>56</v>
      </c>
      <c r="B128" s="3473"/>
      <c r="C128" s="2857" t="s">
        <v>2764</v>
      </c>
      <c r="D128" s="2831" t="s">
        <v>2765</v>
      </c>
      <c r="E128" s="2857">
        <v>0.1</v>
      </c>
      <c r="F128" s="2857">
        <v>15</v>
      </c>
    </row>
    <row r="129" spans="1:6" ht="24">
      <c r="A129" s="2857">
        <v>57</v>
      </c>
      <c r="B129" s="3473"/>
      <c r="C129" s="2857" t="s">
        <v>2766</v>
      </c>
      <c r="D129" s="2831" t="s">
        <v>2767</v>
      </c>
      <c r="E129" s="2857">
        <v>0.1</v>
      </c>
      <c r="F129" s="2857">
        <v>15</v>
      </c>
    </row>
    <row r="130" spans="1:6" ht="24">
      <c r="A130" s="2857">
        <v>58</v>
      </c>
      <c r="B130" s="3473" t="s">
        <v>2768</v>
      </c>
      <c r="C130" s="2857" t="s">
        <v>2769</v>
      </c>
      <c r="D130" s="2831" t="s">
        <v>2770</v>
      </c>
      <c r="E130" s="2857">
        <v>0.1</v>
      </c>
      <c r="F130" s="2857">
        <v>15</v>
      </c>
    </row>
    <row r="131" spans="1:6" ht="13.5">
      <c r="A131" s="2857">
        <v>59</v>
      </c>
      <c r="B131" s="3473"/>
      <c r="C131" s="2857" t="s">
        <v>2771</v>
      </c>
      <c r="D131" s="2831" t="s">
        <v>2772</v>
      </c>
      <c r="E131" s="2857">
        <v>0.1</v>
      </c>
      <c r="F131" s="2857">
        <v>15</v>
      </c>
    </row>
    <row r="132" spans="1:6" ht="13.5">
      <c r="A132" s="2857">
        <v>60</v>
      </c>
      <c r="B132" s="3468" t="s">
        <v>2773</v>
      </c>
      <c r="C132" s="2857" t="s">
        <v>2774</v>
      </c>
      <c r="D132" s="2831" t="s">
        <v>2775</v>
      </c>
      <c r="E132" s="2857">
        <v>0.1</v>
      </c>
      <c r="F132" s="2857">
        <v>15</v>
      </c>
    </row>
    <row r="133" spans="1:6" ht="13.5">
      <c r="A133" s="2857">
        <v>61</v>
      </c>
      <c r="B133" s="3472"/>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73" t="s">
        <v>2781</v>
      </c>
      <c r="C135" s="2857" t="s">
        <v>2782</v>
      </c>
      <c r="D135" s="2831" t="s">
        <v>2783</v>
      </c>
      <c r="E135" s="2857">
        <v>0.1</v>
      </c>
      <c r="F135" s="2857">
        <v>15</v>
      </c>
    </row>
    <row r="136" spans="1:6" ht="13.5">
      <c r="A136" s="2857">
        <v>64</v>
      </c>
      <c r="B136" s="3473"/>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0"/>
      <c r="B4" s="3159" t="s">
        <v>917</v>
      </c>
      <c r="C4" s="3159"/>
      <c r="D4" s="3159"/>
      <c r="E4" s="1390"/>
    </row>
    <row r="5" spans="1:5" ht="16.5" thickTop="1">
      <c r="B5" s="3157" t="s">
        <v>909</v>
      </c>
      <c r="C5" s="1391" t="s">
        <v>910</v>
      </c>
      <c r="D5" s="796">
        <f ca="1">结果表!H101</f>
        <v>635</v>
      </c>
    </row>
    <row r="6" spans="1:5" ht="15.75">
      <c r="B6" s="3157"/>
      <c r="C6" s="1391" t="s">
        <v>911</v>
      </c>
      <c r="D6" s="796" t="str">
        <f ca="1">NUMBERSTRING(INT(D5*10000),2)&amp;"元整"</f>
        <v>陆佰叁拾伍万元整</v>
      </c>
    </row>
    <row r="7" spans="1:5" ht="15.75">
      <c r="B7" s="3162"/>
      <c r="C7" s="1392" t="s">
        <v>912</v>
      </c>
      <c r="D7" s="797">
        <f ca="1">结果表!H102</f>
        <v>18801</v>
      </c>
    </row>
    <row r="8" spans="1:5" ht="15.75">
      <c r="B8" s="3163" t="str">
        <f>结果表!E103</f>
        <v>2.估价师知悉的法定优先受偿款</v>
      </c>
      <c r="C8" s="1393" t="s">
        <v>913</v>
      </c>
      <c r="D8" s="797">
        <f>结果表!H103</f>
        <v>0</v>
      </c>
    </row>
    <row r="9" spans="1:5" ht="15.75">
      <c r="B9" s="316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6" t="str">
        <f>结果表!E107</f>
        <v>3.房地产抵押价值</v>
      </c>
      <c r="C13" s="1396" t="s">
        <v>910</v>
      </c>
      <c r="D13" s="799">
        <f ca="1">结果表!H107</f>
        <v>635</v>
      </c>
    </row>
    <row r="14" spans="1:5" ht="15.75">
      <c r="B14" s="3157"/>
      <c r="C14" s="1391" t="s">
        <v>911</v>
      </c>
      <c r="D14" s="796" t="str">
        <f ca="1">NUMBERSTRING(INT(D13*10000),2)&amp;"元整"</f>
        <v>陆佰叁拾伍万元整</v>
      </c>
    </row>
    <row r="15" spans="1:5" ht="15">
      <c r="B15" s="3162"/>
      <c r="C15" s="1392" t="s">
        <v>921</v>
      </c>
      <c r="D15" s="805">
        <f ca="1">结果表!H108</f>
        <v>18801</v>
      </c>
    </row>
    <row r="16" spans="1:5" ht="15">
      <c r="B16" s="3163" t="str">
        <f>结果表!E109</f>
        <v>——</v>
      </c>
      <c r="C16" s="1396" t="s">
        <v>922</v>
      </c>
      <c r="D16" s="1397" t="str">
        <f>结果表!H109</f>
        <v>——</v>
      </c>
    </row>
    <row r="17" spans="1:5" ht="15.75">
      <c r="B17" s="3164"/>
      <c r="C17" s="1391" t="s">
        <v>923</v>
      </c>
      <c r="D17" s="796" t="e">
        <f>NUMBERSTRING(INT(D16*10000),2)&amp;"元整"</f>
        <v>#VALUE!</v>
      </c>
    </row>
    <row r="18" spans="1:5" ht="15">
      <c r="B18" s="3165"/>
      <c r="C18" s="1392" t="s">
        <v>912</v>
      </c>
      <c r="D18" s="805" t="str">
        <f>结果表!H110</f>
        <v>——</v>
      </c>
    </row>
    <row r="19" spans="1:5" ht="15.75">
      <c r="B19" s="3156" t="str">
        <f>结果表!E111</f>
        <v>——</v>
      </c>
      <c r="C19" s="1396" t="s">
        <v>910</v>
      </c>
      <c r="D19" s="797" t="str">
        <f>结果表!H111</f>
        <v>——</v>
      </c>
    </row>
    <row r="20" spans="1:5" ht="15.75">
      <c r="B20" s="3157"/>
      <c r="C20" s="1391" t="s">
        <v>923</v>
      </c>
      <c r="D20" s="796" t="e">
        <f>NUMBERSTRING(INT(D19*10000),2)&amp;"元整"</f>
        <v>#VALUE!</v>
      </c>
    </row>
    <row r="21" spans="1:5" ht="15.75" thickBot="1">
      <c r="B21" s="315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28207</v>
      </c>
      <c r="C2" s="2" t="s">
        <v>106</v>
      </c>
      <c r="D2" s="191"/>
      <c r="E2" s="191"/>
      <c r="F2" s="191"/>
      <c r="G2" s="191"/>
    </row>
    <row r="3" spans="1:7" s="192" customFormat="1" ht="18" customHeight="1" thickBot="1">
      <c r="A3" s="195" t="s">
        <v>58</v>
      </c>
      <c r="B3" s="196">
        <f ca="1">ROUND(B2*10000/'数据-汇总表'!E3,0)</f>
        <v>263619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21</v>
      </c>
      <c r="D10" s="794">
        <f>'数据-汇总表'!E6</f>
        <v>1069.99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21</v>
      </c>
      <c r="D19" s="204">
        <f>'数据-汇总表'!E3</f>
        <v>1069.99</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1419</v>
      </c>
      <c r="D22" s="227">
        <f ca="1">C26</f>
        <v>6.9999999999999999E-4</v>
      </c>
      <c r="E22" s="228" t="s">
        <v>99</v>
      </c>
      <c r="F22" s="229">
        <f ca="1">'数据-取费表'!B40</f>
        <v>3.3500000000000002E-2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3157</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3157</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27730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374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21</v>
      </c>
      <c r="D37" s="209">
        <f>'数据-汇总表'!E3</f>
        <v>1069.99</v>
      </c>
      <c r="E37" s="241">
        <f>'数据-取费表'!B35</f>
        <v>200</v>
      </c>
      <c r="F37" s="251"/>
      <c r="G37" s="253" t="s">
        <v>92</v>
      </c>
    </row>
    <row r="38" spans="1:7" ht="13.5" customHeight="1">
      <c r="A38" s="733" t="s">
        <v>354</v>
      </c>
      <c r="B38" s="207" t="s">
        <v>36</v>
      </c>
      <c r="C38" s="212">
        <f>ROUND(C34*F38,0)</f>
        <v>6</v>
      </c>
      <c r="D38" s="212"/>
      <c r="E38" s="212"/>
      <c r="F38" s="251">
        <f>'数据-取费表'!B36</f>
        <v>1.4999999999999999E-2</v>
      </c>
      <c r="G38" s="211" t="s">
        <v>90</v>
      </c>
    </row>
    <row r="39" spans="1:7" s="206" customFormat="1" ht="13.5" customHeight="1">
      <c r="A39" s="730" t="s">
        <v>338</v>
      </c>
      <c r="B39" s="202" t="s">
        <v>77</v>
      </c>
      <c r="C39" s="224">
        <f>ROUND(C33*F20,0)</f>
        <v>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14</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14</v>
      </c>
      <c r="D42" s="230"/>
      <c r="E42" s="230"/>
      <c r="F42" s="231"/>
      <c r="G42" s="3337" t="s">
        <v>94</v>
      </c>
    </row>
    <row r="43" spans="1:7" ht="13.5" customHeight="1">
      <c r="A43" s="733" t="s">
        <v>347</v>
      </c>
      <c r="B43" s="207" t="s">
        <v>426</v>
      </c>
      <c r="C43" s="230">
        <f ca="1">ROUND(IF('数据-取费表'!B22&lt;=1,C39*F22*'数据-取费表'!B21/2,C39*(POWER((1+F22),'数据-取费表'!B21/2)-1)),0)</f>
        <v>0</v>
      </c>
      <c r="D43" s="230"/>
      <c r="E43" s="230"/>
      <c r="F43" s="231"/>
      <c r="G43" s="3338"/>
    </row>
    <row r="44" spans="1:7" ht="13.5" customHeight="1">
      <c r="A44" s="733" t="s">
        <v>348</v>
      </c>
      <c r="B44" s="207" t="s">
        <v>428</v>
      </c>
      <c r="C44" s="230">
        <f ca="1">ROUND(IF('数据-取费表'!B22&lt;=1,C40*F22*'数据-取费表'!B21/2,C40*(POWER((1+F22),'数据-取费表'!B21/2)-1)),4)</f>
        <v>6.9999999999999999E-4</v>
      </c>
      <c r="D44" s="230"/>
      <c r="E44" s="230"/>
      <c r="F44" s="231"/>
      <c r="G44" s="3339"/>
    </row>
    <row r="45" spans="1:7" s="206" customFormat="1" ht="13.5" customHeight="1">
      <c r="A45" s="730" t="s">
        <v>341</v>
      </c>
      <c r="B45" s="236" t="s">
        <v>85</v>
      </c>
      <c r="C45" s="237">
        <f>C46</f>
        <v>64</v>
      </c>
      <c r="D45" s="227">
        <f>C47</f>
        <v>3.0000000000000001E-3</v>
      </c>
      <c r="E45" s="228" t="s">
        <v>102</v>
      </c>
      <c r="F45" s="238"/>
      <c r="G45" s="239" t="s">
        <v>434</v>
      </c>
    </row>
    <row r="46" spans="1:7" s="206" customFormat="1" ht="13.5" customHeight="1">
      <c r="A46" s="733" t="s">
        <v>349</v>
      </c>
      <c r="B46" s="240" t="s">
        <v>427</v>
      </c>
      <c r="C46" s="241">
        <f>ROUND((C33+C39)*F27,0)</f>
        <v>64</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548</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477</v>
      </c>
      <c r="D51" s="224"/>
      <c r="E51" s="224"/>
      <c r="F51" s="256"/>
      <c r="G51" s="226" t="s">
        <v>37</v>
      </c>
    </row>
    <row r="52" spans="1:7" s="200" customFormat="1" ht="16.5" thickBot="1">
      <c r="A52" s="257" t="s">
        <v>38</v>
      </c>
      <c r="B52" s="258"/>
      <c r="C52" s="259">
        <f ca="1">C31+C51</f>
        <v>28207</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Q80" sqref="Q8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2831</v>
      </c>
      <c r="B1" s="3476"/>
      <c r="C1" s="3476"/>
      <c r="D1" s="3476"/>
      <c r="E1" s="3476"/>
      <c r="F1" s="3476"/>
      <c r="G1" s="3477"/>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74"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75"/>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3173</v>
      </c>
      <c r="B1" s="3478"/>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9" t="s">
        <v>3224</v>
      </c>
      <c r="B1" s="3479"/>
      <c r="C1" s="3479"/>
      <c r="D1" s="3479"/>
      <c r="E1" s="3479"/>
      <c r="F1" s="3480"/>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37">
        <f>基准地价修正!G23</f>
        <v>45580</v>
      </c>
      <c r="B1" s="2929" t="s">
        <v>3363</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3374</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3375</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3369</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3376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3371</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3367</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3366</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3358</v>
      </c>
    </row>
    <row r="24" spans="1:30">
      <c r="I24" s="1404" t="s">
        <v>2817</v>
      </c>
    </row>
    <row r="26" spans="1:30" s="2008" customFormat="1" ht="12.75">
      <c r="B26" s="2929" t="s">
        <v>3364</v>
      </c>
      <c r="C26" s="2930"/>
      <c r="D26" s="2930"/>
      <c r="E26" s="2930"/>
      <c r="F26" s="2930"/>
      <c r="G26" s="2930"/>
      <c r="H26" s="2930"/>
      <c r="I26" s="2930"/>
      <c r="J26" s="2896"/>
      <c r="K26" s="2930" t="s">
        <v>2818</v>
      </c>
      <c r="L26" s="2930"/>
      <c r="M26" s="2930"/>
      <c r="N26" s="2930"/>
      <c r="O26" s="2930"/>
      <c r="P26" s="2930"/>
      <c r="Q26" s="2896"/>
      <c r="R26" s="3481" t="s">
        <v>2819</v>
      </c>
      <c r="S26" s="3482"/>
      <c r="T26" s="3482"/>
      <c r="U26" s="3482"/>
      <c r="V26" s="3482"/>
      <c r="W26" s="3482"/>
      <c r="X26" s="2896"/>
      <c r="Y26" s="3481" t="s">
        <v>2820</v>
      </c>
      <c r="Z26" s="3482"/>
      <c r="AA26" s="3482"/>
      <c r="AB26" s="3482"/>
      <c r="AC26" s="3482"/>
      <c r="AD26" s="3482"/>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3374</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3377</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3369</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3378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3370</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3368</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3366</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3365</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3359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Q80" sqref="Q8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Q80" sqref="Q8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2301</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800" t="s">
        <v>925</v>
      </c>
      <c r="E3" s="800" t="s">
        <v>931</v>
      </c>
      <c r="F3" s="800" t="s">
        <v>925</v>
      </c>
      <c r="G3" s="800" t="s">
        <v>926</v>
      </c>
      <c r="H3" s="800" t="s">
        <v>925</v>
      </c>
      <c r="I3" s="800" t="s">
        <v>926</v>
      </c>
    </row>
    <row r="4" spans="1:9" ht="15">
      <c r="A4" s="1402" t="str">
        <f>项目基本情况!S2</f>
        <v>北京市房地产</v>
      </c>
      <c r="B4" s="800">
        <f>项目基本情况!C17</f>
        <v>1069.99</v>
      </c>
      <c r="C4" s="800">
        <f>项目基本情况!C18</f>
        <v>0</v>
      </c>
      <c r="D4" s="800">
        <f ca="1">结果表!D118</f>
        <v>380</v>
      </c>
      <c r="E4" s="800">
        <f ca="1">结果表!E118</f>
        <v>11262</v>
      </c>
      <c r="F4" s="800">
        <f ca="1">结果表!F118</f>
        <v>255</v>
      </c>
      <c r="G4" s="800">
        <f ca="1">结果表!G118</f>
        <v>7539</v>
      </c>
      <c r="H4" s="800">
        <f ca="1">结果表!H118</f>
        <v>635</v>
      </c>
      <c r="I4" s="800">
        <f ca="1">结果表!I118</f>
        <v>18801</v>
      </c>
    </row>
    <row r="5" spans="1:9" ht="30" customHeight="1">
      <c r="A5" s="3168" t="s">
        <v>927</v>
      </c>
      <c r="B5" s="3168"/>
      <c r="C5" s="3168"/>
      <c r="D5" s="3168" t="str">
        <f ca="1">结果表!D119</f>
        <v>叁佰捌拾万元整</v>
      </c>
      <c r="E5" s="3168"/>
      <c r="F5" s="3168" t="str">
        <f ca="1">结果表!F119</f>
        <v>贰佰伍拾伍万元整</v>
      </c>
      <c r="G5" s="3168"/>
      <c r="H5" s="3168" t="str">
        <f ca="1">结果表!H119</f>
        <v>陆佰叁拾伍万元整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房地产抵押价值</v>
      </c>
      <c r="B8" s="3169"/>
      <c r="C8" s="3169"/>
      <c r="D8" s="3169">
        <f ca="1">结果表!D122</f>
        <v>635</v>
      </c>
      <c r="E8" s="3169"/>
      <c r="F8" s="3169"/>
      <c r="G8" s="3169"/>
      <c r="H8" s="3169"/>
      <c r="I8" s="3169"/>
    </row>
    <row r="9" spans="1:9" ht="15">
      <c r="A9" s="3168" t="s">
        <v>927</v>
      </c>
      <c r="B9" s="3168"/>
      <c r="C9" s="3168"/>
      <c r="D9" s="3168" t="str">
        <f ca="1">结果表!D123</f>
        <v>陆佰叁拾伍万元整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5" t="s">
        <v>949</v>
      </c>
      <c r="B1" s="3175"/>
      <c r="C1" s="3175"/>
      <c r="D1" s="3175"/>
    </row>
    <row r="2" spans="1:4" ht="18">
      <c r="A2" s="3176" t="s">
        <v>933</v>
      </c>
      <c r="B2" s="3176"/>
      <c r="C2" s="3176"/>
      <c r="D2" s="317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6" t="s">
        <v>939</v>
      </c>
      <c r="B6" s="3176"/>
      <c r="C6" s="3176"/>
      <c r="D6" s="317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9" t="s">
        <v>956</v>
      </c>
      <c r="B15" s="3184" t="s">
        <v>109</v>
      </c>
      <c r="C15" s="3185"/>
    </row>
    <row r="16" spans="1:7" ht="13.5">
      <c r="A16" s="3190"/>
      <c r="B16" s="3184" t="s">
        <v>42</v>
      </c>
      <c r="C16" s="3185"/>
    </row>
    <row r="17" spans="1:3" ht="13.5">
      <c r="A17" s="3190"/>
      <c r="B17" s="3187" t="s">
        <v>957</v>
      </c>
      <c r="C17" s="1428" t="s">
        <v>956</v>
      </c>
    </row>
    <row r="18" spans="1:3" ht="13.5">
      <c r="A18" s="3190"/>
      <c r="B18" s="3187"/>
      <c r="C18" s="1428" t="s">
        <v>958</v>
      </c>
    </row>
    <row r="19" spans="1:3" ht="13.5">
      <c r="A19" s="3190"/>
      <c r="B19" s="3187"/>
      <c r="C19" s="1428" t="s">
        <v>959</v>
      </c>
    </row>
    <row r="20" spans="1:3" ht="13.5">
      <c r="A20" s="3191"/>
      <c r="B20" s="3186" t="s">
        <v>960</v>
      </c>
      <c r="C20" s="3185"/>
    </row>
    <row r="21" spans="1:3" ht="13.5">
      <c r="A21" s="1429" t="s">
        <v>961</v>
      </c>
      <c r="B21" s="1430"/>
      <c r="C21" s="1431"/>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8" t="s">
        <v>967</v>
      </c>
    </row>
    <row r="26" spans="1:3" ht="13.5">
      <c r="A26" s="3188"/>
      <c r="B26" s="3187"/>
      <c r="C26" s="1428" t="s">
        <v>968</v>
      </c>
    </row>
    <row r="27" spans="1:3" ht="13.5">
      <c r="A27" s="3188"/>
      <c r="B27" s="3187"/>
      <c r="C27" s="1428" t="s">
        <v>969</v>
      </c>
    </row>
    <row r="28" spans="1:3" ht="13.5">
      <c r="A28" s="3188"/>
      <c r="B28" s="3187"/>
      <c r="C28" s="1428" t="s">
        <v>970</v>
      </c>
    </row>
    <row r="29" spans="1:3" ht="13.5">
      <c r="A29" s="3188"/>
      <c r="B29" s="3187"/>
      <c r="C29" s="1428" t="s">
        <v>971</v>
      </c>
    </row>
    <row r="30" spans="1:3" ht="13.5">
      <c r="A30" s="3188"/>
      <c r="B30" s="3187"/>
      <c r="C30" s="1428" t="s">
        <v>972</v>
      </c>
    </row>
    <row r="31" spans="1:3" ht="13.5">
      <c r="A31" s="3188"/>
      <c r="B31" s="3187"/>
      <c r="C31" s="1428" t="s">
        <v>973</v>
      </c>
    </row>
    <row r="32" spans="1:3" ht="13.5">
      <c r="A32" s="3188"/>
      <c r="B32" s="3187"/>
      <c r="C32" s="1428" t="s">
        <v>974</v>
      </c>
    </row>
    <row r="33" spans="1:3" ht="13.5">
      <c r="A33" s="3188"/>
      <c r="B33" s="318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45582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2" t="s">
        <v>2159</v>
      </c>
      <c r="B17" s="3192"/>
      <c r="C17" s="3192"/>
      <c r="D17" s="3192"/>
      <c r="E17" s="3192"/>
      <c r="F17" s="3192"/>
      <c r="G17" s="3192"/>
      <c r="H17" s="3192"/>
    </row>
    <row r="18" spans="1:8" ht="24" customHeight="1">
      <c r="A18" s="3193" t="s">
        <v>2160</v>
      </c>
      <c r="B18" s="3193"/>
      <c r="C18" s="3193"/>
      <c r="D18" s="2159"/>
      <c r="E18" s="3194" t="s">
        <v>2161</v>
      </c>
      <c r="F18" s="3193"/>
      <c r="G18" s="3193"/>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2024-10-17T06:42:59Z</dcterms:modified>
</cp:coreProperties>
</file>