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60" windowWidth="11310" windowHeight="1020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分层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车位)" sheetId="82"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r:id="rId38"/>
    <sheet name="基准地价修正(停车楼)"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土地案例"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分层面积!$A$3:$H$35</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8">'基准地价修正(停车楼)'!$A$1:$J$44,'基准地价修正(停车楼)'!$A$47:$H$101,'基准地价修正(停车楼)'!$R$1:$V$16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'收益法(车位)'!$A$1:$F$43,'收益法(车位)'!$H$3:$M$29,'收益法(车位)'!$A$46:$F$71,'收益法(车位)'!$I$46:$N$65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'基准地价修正(停车楼)'!$Q$19:$AD$19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C14" i="74" l="1"/>
  <c r="B14" i="74"/>
  <c r="C88" i="9" l="1"/>
  <c r="V29" i="1"/>
  <c r="Y27" i="1"/>
  <c r="Y26" i="1"/>
  <c r="Y25" i="1"/>
  <c r="Y24" i="1"/>
  <c r="Y23" i="1"/>
  <c r="Y22" i="1"/>
  <c r="Y21" i="1"/>
  <c r="Y19" i="1"/>
  <c r="S30" i="1"/>
  <c r="N18" i="39" l="1"/>
  <c r="N17" i="39"/>
  <c r="N11" i="39"/>
  <c r="O8" i="39"/>
  <c r="N9" i="39"/>
  <c r="N8" i="39"/>
  <c r="E70" i="39" l="1"/>
  <c r="F70" i="39" s="1"/>
  <c r="G70" i="39" s="1"/>
  <c r="H70" i="39" s="1"/>
  <c r="I70" i="39" s="1"/>
  <c r="J70" i="39" s="1"/>
  <c r="K70" i="39" s="1"/>
  <c r="L70" i="39" s="1"/>
  <c r="M70" i="39" s="1"/>
  <c r="N70" i="39" s="1"/>
  <c r="O70" i="39" s="1"/>
  <c r="D70" i="39"/>
  <c r="C10" i="39"/>
  <c r="I46" i="39"/>
  <c r="G46" i="39"/>
  <c r="E46" i="39"/>
  <c r="I38" i="39"/>
  <c r="G38" i="39"/>
  <c r="E38" i="39"/>
  <c r="C38" i="39"/>
  <c r="I11" i="39"/>
  <c r="C11" i="39"/>
  <c r="I7" i="39"/>
  <c r="G7" i="39"/>
  <c r="E7" i="39"/>
  <c r="I5" i="39"/>
  <c r="G5" i="39"/>
  <c r="E5" i="39"/>
  <c r="Y7" i="1" l="1"/>
  <c r="Q72" i="82"/>
  <c r="Q59" i="82"/>
  <c r="K59" i="82"/>
  <c r="P74" i="82" s="1"/>
  <c r="Q58" i="82"/>
  <c r="Q51" i="82"/>
  <c r="J50" i="82"/>
  <c r="J51" i="82" s="1"/>
  <c r="M47" i="82"/>
  <c r="D46" i="82"/>
  <c r="F34" i="82"/>
  <c r="F62" i="82" s="1"/>
  <c r="F33" i="82"/>
  <c r="F61" i="82" s="1"/>
  <c r="F32" i="82"/>
  <c r="F60" i="82" s="1"/>
  <c r="F28" i="82"/>
  <c r="C28" i="82"/>
  <c r="F23" i="82"/>
  <c r="D24" i="82" s="1"/>
  <c r="D23" i="82"/>
  <c r="D22" i="82"/>
  <c r="F21" i="82"/>
  <c r="M20" i="82"/>
  <c r="F20" i="82"/>
  <c r="M19" i="82"/>
  <c r="M18" i="82"/>
  <c r="F18" i="82"/>
  <c r="F17" i="82"/>
  <c r="F15" i="82"/>
  <c r="G1" i="82"/>
  <c r="C76" i="82"/>
  <c r="Q71" i="82" l="1"/>
  <c r="P61" i="82"/>
  <c r="L47" i="82"/>
  <c r="F38" i="82"/>
  <c r="F42" i="82"/>
  <c r="F16" i="82"/>
  <c r="M29" i="82"/>
  <c r="M6" i="82"/>
  <c r="F40" i="82"/>
  <c r="M9" i="82"/>
  <c r="M24" i="82"/>
  <c r="M28" i="82"/>
  <c r="F8" i="82"/>
  <c r="F13" i="82"/>
  <c r="F37" i="82"/>
  <c r="L48" i="82"/>
  <c r="F43" i="82"/>
  <c r="M22" i="82"/>
  <c r="M8" i="82"/>
  <c r="F36" i="82"/>
  <c r="J15" i="82"/>
  <c r="F9" i="82"/>
  <c r="M23" i="82"/>
  <c r="F26" i="82"/>
  <c r="M26" i="82"/>
  <c r="M27" i="82"/>
  <c r="F6" i="82"/>
  <c r="F7" i="82"/>
  <c r="N59" i="82" l="1"/>
  <c r="L59" i="82"/>
  <c r="L58" i="82"/>
  <c r="M59" i="82"/>
  <c r="F66" i="82"/>
  <c r="F64" i="82"/>
  <c r="C27" i="82"/>
  <c r="F31" i="82"/>
  <c r="C6" i="82"/>
  <c r="F51" i="82"/>
  <c r="L57" i="82"/>
  <c r="L56" i="82"/>
  <c r="J53" i="82"/>
  <c r="J57" i="82"/>
  <c r="J55" i="82" s="1"/>
  <c r="J58" i="82" s="1"/>
  <c r="Q50" i="82" s="1"/>
  <c r="I54" i="82"/>
  <c r="L60" i="82"/>
  <c r="F71" i="82"/>
  <c r="F68" i="82"/>
  <c r="F65" i="82"/>
  <c r="F50" i="82"/>
  <c r="M7" i="82"/>
  <c r="M17" i="82" s="1"/>
  <c r="C17" i="82"/>
  <c r="F59" i="82" l="1"/>
  <c r="J6" i="82"/>
  <c r="C33" i="82"/>
  <c r="C32" i="82"/>
  <c r="Q60" i="82"/>
  <c r="Q73" i="82"/>
  <c r="Q66" i="82"/>
  <c r="Q57" i="82"/>
  <c r="Q52" i="82"/>
  <c r="F1" i="82"/>
  <c r="C49" i="82"/>
  <c r="Q61" i="82"/>
  <c r="Q74" i="82"/>
  <c r="C61" i="82" l="1"/>
  <c r="J18" i="82"/>
  <c r="J19" i="82"/>
  <c r="S28" i="1" l="1"/>
  <c r="V20" i="1"/>
  <c r="V27" i="1"/>
  <c r="V26" i="1"/>
  <c r="V25" i="1"/>
  <c r="V24" i="1"/>
  <c r="U23" i="1"/>
  <c r="V23" i="1" s="1"/>
  <c r="U22" i="1"/>
  <c r="V22" i="1" s="1"/>
  <c r="U21" i="1"/>
  <c r="V21" i="1" s="1"/>
  <c r="S27" i="1"/>
  <c r="S26" i="1"/>
  <c r="S25" i="1"/>
  <c r="S24" i="1"/>
  <c r="S23" i="1"/>
  <c r="S22" i="1"/>
  <c r="S21" i="1"/>
  <c r="S20" i="1"/>
  <c r="S19" i="1"/>
  <c r="U7" i="43"/>
  <c r="U6" i="43"/>
  <c r="U5" i="43"/>
  <c r="U4" i="43"/>
  <c r="U3" i="43"/>
  <c r="U2" i="43"/>
  <c r="G44" i="43"/>
  <c r="D42" i="43"/>
  <c r="D33" i="81"/>
  <c r="D1" i="81" s="1"/>
  <c r="H13" i="4"/>
  <c r="N14" i="1"/>
  <c r="N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s="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B94" i="81"/>
  <c r="M93" i="81"/>
  <c r="N93" i="81" s="1"/>
  <c r="K93" i="81"/>
  <c r="J93" i="81"/>
  <c r="F93" i="81"/>
  <c r="H101" i="81" s="1"/>
  <c r="D93" i="81"/>
  <c r="E93" i="81" s="1"/>
  <c r="B91" i="81" s="1"/>
  <c r="B90" i="81"/>
  <c r="B88" i="81"/>
  <c r="B87" i="81"/>
  <c r="B86" i="81"/>
  <c r="B85" i="81"/>
  <c r="B84" i="81"/>
  <c r="D83" i="81"/>
  <c r="B83" i="81"/>
  <c r="M80" i="81"/>
  <c r="N80" i="81" s="1"/>
  <c r="K80" i="81"/>
  <c r="J80" i="81" s="1"/>
  <c r="D80" i="81"/>
  <c r="M79" i="81"/>
  <c r="N79" i="81" s="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N72" i="81"/>
  <c r="M72" i="81"/>
  <c r="K72" i="81"/>
  <c r="J72" i="81" s="1"/>
  <c r="F72" i="81"/>
  <c r="H78" i="81" s="1"/>
  <c r="D72" i="81"/>
  <c r="E72" i="81" s="1"/>
  <c r="B70" i="81" s="1"/>
  <c r="B72" i="81"/>
  <c r="N69" i="81"/>
  <c r="M69" i="81"/>
  <c r="K69" i="81"/>
  <c r="J69" i="81" s="1"/>
  <c r="D69" i="81"/>
  <c r="B69" i="81"/>
  <c r="M68" i="81"/>
  <c r="N68" i="81" s="1"/>
  <c r="K68" i="81"/>
  <c r="J68" i="81" s="1"/>
  <c r="D68" i="81"/>
  <c r="B68" i="81"/>
  <c r="N67" i="81"/>
  <c r="M67" i="81"/>
  <c r="K67" i="81"/>
  <c r="J67" i="81" s="1"/>
  <c r="D67" i="81"/>
  <c r="B67" i="81"/>
  <c r="M66" i="81"/>
  <c r="N66" i="81" s="1"/>
  <c r="K66" i="81"/>
  <c r="J66" i="81" s="1"/>
  <c r="D66" i="81"/>
  <c r="M65" i="81"/>
  <c r="N65" i="81" s="1"/>
  <c r="K65" i="81"/>
  <c r="J65" i="81" s="1"/>
  <c r="D65" i="81"/>
  <c r="B65" i="81"/>
  <c r="N64" i="81"/>
  <c r="M64" i="81"/>
  <c r="K64" i="81"/>
  <c r="J64" i="81" s="1"/>
  <c r="D64" i="81"/>
  <c r="N63" i="81"/>
  <c r="M63" i="81"/>
  <c r="K63" i="81"/>
  <c r="J63" i="81" s="1"/>
  <c r="D63" i="81"/>
  <c r="B63" i="81"/>
  <c r="M62" i="81"/>
  <c r="N62" i="81" s="1"/>
  <c r="K62" i="81"/>
  <c r="J62" i="81" s="1"/>
  <c r="D62" i="81"/>
  <c r="B62" i="81"/>
  <c r="N61" i="81"/>
  <c r="M61" i="81"/>
  <c r="K61" i="81"/>
  <c r="J61" i="81" s="1"/>
  <c r="F61" i="81"/>
  <c r="H61" i="81" s="1"/>
  <c r="D61" i="81"/>
  <c r="E61" i="81" s="1"/>
  <c r="B59" i="81" s="1"/>
  <c r="B61" i="81"/>
  <c r="B58" i="81"/>
  <c r="B57" i="81"/>
  <c r="B56" i="81"/>
  <c r="B54" i="81"/>
  <c r="B52" i="81"/>
  <c r="B51" i="81"/>
  <c r="B50" i="81"/>
  <c r="H42" i="81"/>
  <c r="H41" i="81"/>
  <c r="H40" i="81"/>
  <c r="H39" i="81"/>
  <c r="H38" i="81"/>
  <c r="H37" i="81"/>
  <c r="P29" i="81"/>
  <c r="P25" i="81"/>
  <c r="M24" i="81"/>
  <c r="J24" i="81"/>
  <c r="G24" i="81"/>
  <c r="E44" i="81" s="1"/>
  <c r="C44" i="81" s="1"/>
  <c r="E24" i="81"/>
  <c r="O23" i="81"/>
  <c r="M23" i="81"/>
  <c r="I23" i="81"/>
  <c r="G23" i="81"/>
  <c r="P28" i="81" s="1"/>
  <c r="C22" i="81"/>
  <c r="I18" i="81"/>
  <c r="G18" i="81"/>
  <c r="G17" i="81"/>
  <c r="E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J26" i="81" s="1"/>
  <c r="I2" i="81"/>
  <c r="N12" i="81" s="1"/>
  <c r="G2" i="81"/>
  <c r="M21" i="81" s="1"/>
  <c r="N1" i="81"/>
  <c r="M1" i="81"/>
  <c r="D37" i="43"/>
  <c r="D33" i="43"/>
  <c r="V19" i="1" l="1"/>
  <c r="U30" i="1"/>
  <c r="U31" i="1" s="1"/>
  <c r="V31" i="1" s="1"/>
  <c r="V28" i="1"/>
  <c r="U28" i="1" s="1"/>
  <c r="H72" i="81"/>
  <c r="H76" i="81"/>
  <c r="H74" i="81"/>
  <c r="E11" i="81"/>
  <c r="E10" i="81"/>
  <c r="E9" i="81"/>
  <c r="E8" i="81"/>
  <c r="N2" i="81"/>
  <c r="M3" i="81"/>
  <c r="S3" i="81"/>
  <c r="N4" i="81"/>
  <c r="M5" i="81"/>
  <c r="S5" i="81"/>
  <c r="M6" i="81"/>
  <c r="S6" i="81"/>
  <c r="M7" i="81"/>
  <c r="X7" i="81"/>
  <c r="N8" i="81"/>
  <c r="N9" i="81"/>
  <c r="M10" i="81"/>
  <c r="M11" i="81"/>
  <c r="M12" i="81"/>
  <c r="D21" i="81"/>
  <c r="I21" i="81"/>
  <c r="P32" i="81"/>
  <c r="N32" i="81"/>
  <c r="Q32" i="81"/>
  <c r="O32" i="81"/>
  <c r="M32" i="81"/>
  <c r="E26" i="81"/>
  <c r="H116" i="81"/>
  <c r="F50" i="81"/>
  <c r="F42" i="81"/>
  <c r="F41" i="81"/>
  <c r="F40" i="81"/>
  <c r="F39" i="81"/>
  <c r="F38" i="81"/>
  <c r="F37" i="81"/>
  <c r="N21" i="81"/>
  <c r="L21" i="81"/>
  <c r="J21" i="81"/>
  <c r="H21" i="81"/>
  <c r="E21" i="81"/>
  <c r="C21" i="81"/>
  <c r="M2" i="81"/>
  <c r="S2" i="81"/>
  <c r="B116" i="81"/>
  <c r="H26" i="81"/>
  <c r="F26" i="81"/>
  <c r="N3" i="81"/>
  <c r="F83" i="81" s="1"/>
  <c r="M4" i="81"/>
  <c r="C6" i="81" s="1"/>
  <c r="S4" i="81"/>
  <c r="N5" i="81"/>
  <c r="N6" i="81"/>
  <c r="N7" i="81"/>
  <c r="Z7" i="81"/>
  <c r="M8" i="81"/>
  <c r="M9" i="81"/>
  <c r="N10" i="81"/>
  <c r="N11" i="81"/>
  <c r="K21" i="81"/>
  <c r="O21" i="81"/>
  <c r="G26" i="81"/>
  <c r="C27" i="81"/>
  <c r="P26" i="81"/>
  <c r="P27" i="81"/>
  <c r="H68" i="81"/>
  <c r="H66" i="81"/>
  <c r="H62" i="81"/>
  <c r="H65" i="81"/>
  <c r="H69" i="81"/>
  <c r="H63" i="81"/>
  <c r="H64" i="81"/>
  <c r="H67" i="81"/>
  <c r="H79" i="81"/>
  <c r="H80" i="81"/>
  <c r="H94" i="81"/>
  <c r="H97" i="81"/>
  <c r="H98" i="81"/>
  <c r="H100" i="81"/>
  <c r="H73" i="81"/>
  <c r="H75" i="81"/>
  <c r="H77" i="81"/>
  <c r="H93" i="81"/>
  <c r="H95" i="81"/>
  <c r="H96" i="81"/>
  <c r="H99" i="81"/>
  <c r="Y6" i="1"/>
  <c r="N6" i="1"/>
  <c r="N21" i="1"/>
  <c r="N19" i="1"/>
  <c r="B57" i="1"/>
  <c r="B21" i="1"/>
  <c r="G20" i="6"/>
  <c r="F20" i="6"/>
  <c r="G19" i="6"/>
  <c r="F19" i="6"/>
  <c r="I47" i="80"/>
  <c r="H47" i="80"/>
  <c r="G47" i="80"/>
  <c r="F48" i="80" s="1"/>
  <c r="F47" i="80"/>
  <c r="E47" i="80"/>
  <c r="K47" i="80" s="1"/>
  <c r="D47" i="80"/>
  <c r="J47" i="80" s="1"/>
  <c r="K46" i="80"/>
  <c r="J46" i="80"/>
  <c r="K45" i="80"/>
  <c r="J45" i="80"/>
  <c r="K44" i="80"/>
  <c r="J44" i="80"/>
  <c r="K43" i="80"/>
  <c r="J43" i="80"/>
  <c r="K42" i="80"/>
  <c r="J42" i="80"/>
  <c r="G35" i="80"/>
  <c r="F35" i="80"/>
  <c r="E35" i="80"/>
  <c r="D35" i="80"/>
  <c r="C35" i="80"/>
  <c r="G34" i="80"/>
  <c r="F34" i="80"/>
  <c r="E34" i="80"/>
  <c r="D34" i="80"/>
  <c r="C34" i="80"/>
  <c r="G33" i="80"/>
  <c r="F33" i="80"/>
  <c r="E33" i="80"/>
  <c r="D33" i="80"/>
  <c r="C33" i="80"/>
  <c r="F32" i="80"/>
  <c r="E32" i="80"/>
  <c r="G30" i="80"/>
  <c r="F30" i="80"/>
  <c r="E30" i="80"/>
  <c r="D30" i="80"/>
  <c r="D31" i="80" s="1"/>
  <c r="C30" i="80"/>
  <c r="F29" i="80"/>
  <c r="E29" i="80"/>
  <c r="D29" i="80"/>
  <c r="C29" i="80"/>
  <c r="G28" i="80"/>
  <c r="F28" i="80"/>
  <c r="F31" i="80" s="1"/>
  <c r="E28" i="80"/>
  <c r="D28" i="80"/>
  <c r="C28" i="80"/>
  <c r="G27" i="80"/>
  <c r="F27" i="80"/>
  <c r="E27" i="80"/>
  <c r="D27" i="80"/>
  <c r="C27" i="80"/>
  <c r="G25" i="80"/>
  <c r="F25" i="80"/>
  <c r="E25" i="80"/>
  <c r="D25" i="80"/>
  <c r="C25" i="80"/>
  <c r="H24" i="80"/>
  <c r="H23" i="80"/>
  <c r="H22" i="80"/>
  <c r="H21" i="80"/>
  <c r="H20" i="80"/>
  <c r="H19" i="80"/>
  <c r="H18" i="80"/>
  <c r="H17" i="80"/>
  <c r="H16" i="80"/>
  <c r="H15" i="80"/>
  <c r="H14" i="80"/>
  <c r="H13" i="80"/>
  <c r="H12" i="80"/>
  <c r="H11" i="80"/>
  <c r="H10" i="80"/>
  <c r="H9" i="80"/>
  <c r="H8" i="80"/>
  <c r="H28" i="80" s="1"/>
  <c r="H7" i="80"/>
  <c r="H6" i="80"/>
  <c r="H5" i="80"/>
  <c r="H4" i="80"/>
  <c r="H25" i="80" s="1"/>
  <c r="I25" i="80" l="1"/>
  <c r="J34" i="80"/>
  <c r="H32" i="80"/>
  <c r="H33" i="80" s="1"/>
  <c r="J37" i="80" s="1"/>
  <c r="H27" i="80"/>
  <c r="C31" i="80"/>
  <c r="E31" i="80"/>
  <c r="G31" i="80"/>
  <c r="H89" i="81"/>
  <c r="G89" i="81" s="1"/>
  <c r="H85" i="81"/>
  <c r="G85" i="81" s="1"/>
  <c r="H87" i="81"/>
  <c r="G87" i="81" s="1"/>
  <c r="H83" i="81"/>
  <c r="G83" i="81" s="1"/>
  <c r="H90" i="81"/>
  <c r="G90" i="81" s="1"/>
  <c r="H84" i="81"/>
  <c r="G84" i="81" s="1"/>
  <c r="H88" i="81"/>
  <c r="G88" i="81" s="1"/>
  <c r="H86" i="81"/>
  <c r="G86" i="81" s="1"/>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D116" i="81"/>
  <c r="G21" i="81"/>
  <c r="C20" i="81" s="1"/>
  <c r="D5" i="81" s="1"/>
  <c r="H58" i="81"/>
  <c r="G58" i="81" s="1"/>
  <c r="H57" i="81"/>
  <c r="G57" i="81" s="1"/>
  <c r="H56" i="81"/>
  <c r="G56" i="81" s="1"/>
  <c r="H55" i="81"/>
  <c r="G55" i="81" s="1"/>
  <c r="H52" i="81"/>
  <c r="G52" i="81" s="1"/>
  <c r="H51" i="81"/>
  <c r="G51" i="81" s="1"/>
  <c r="H50" i="81"/>
  <c r="G50" i="81" s="1"/>
  <c r="H54" i="81"/>
  <c r="G54" i="81" s="1"/>
  <c r="H53" i="81"/>
  <c r="G53" i="81" s="1"/>
  <c r="D26" i="81"/>
  <c r="C25" i="81" s="1"/>
  <c r="D48" i="80"/>
  <c r="M88" i="81" l="1"/>
  <c r="N88" i="81" s="1"/>
  <c r="K88" i="81"/>
  <c r="J88" i="81" s="1"/>
  <c r="D88" i="81" s="1"/>
  <c r="M90" i="81"/>
  <c r="N90" i="81" s="1"/>
  <c r="K90" i="81"/>
  <c r="M87" i="81"/>
  <c r="N87" i="81" s="1"/>
  <c r="K87" i="81"/>
  <c r="M89" i="81"/>
  <c r="N89" i="81" s="1"/>
  <c r="K89" i="81"/>
  <c r="K86" i="81"/>
  <c r="M86" i="81"/>
  <c r="N86" i="81" s="1"/>
  <c r="K84" i="81"/>
  <c r="M84" i="81"/>
  <c r="N84" i="81" s="1"/>
  <c r="K83" i="81"/>
  <c r="J83" i="81" s="1"/>
  <c r="M83" i="81"/>
  <c r="N83" i="81" s="1"/>
  <c r="M85" i="81"/>
  <c r="N85" i="81" s="1"/>
  <c r="K85" i="81"/>
  <c r="M53" i="81"/>
  <c r="N53" i="81" s="1"/>
  <c r="K53" i="81"/>
  <c r="K50" i="81"/>
  <c r="M50" i="81"/>
  <c r="N50" i="81" s="1"/>
  <c r="K52" i="81"/>
  <c r="M52" i="81"/>
  <c r="N52" i="81" s="1"/>
  <c r="K56" i="81"/>
  <c r="M56" i="81"/>
  <c r="N56" i="81" s="1"/>
  <c r="K58" i="81"/>
  <c r="M58" i="81"/>
  <c r="N58" i="81" s="1"/>
  <c r="M54" i="81"/>
  <c r="N54" i="81" s="1"/>
  <c r="K54" i="81"/>
  <c r="K51" i="81"/>
  <c r="M51" i="81"/>
  <c r="N51" i="81" s="1"/>
  <c r="K55" i="81"/>
  <c r="M55" i="81"/>
  <c r="N55" i="81" s="1"/>
  <c r="K57" i="81"/>
  <c r="J57" i="81" s="1"/>
  <c r="D57" i="81" s="1"/>
  <c r="M57" i="81"/>
  <c r="N57" i="81" s="1"/>
  <c r="C5" i="81"/>
  <c r="G14" i="73"/>
  <c r="F14" i="73"/>
  <c r="E14" i="73"/>
  <c r="J85" i="81" l="1"/>
  <c r="D85" i="81"/>
  <c r="J89" i="81"/>
  <c r="D89" i="81"/>
  <c r="J87" i="81"/>
  <c r="D87" i="81"/>
  <c r="J90" i="81"/>
  <c r="D90" i="81"/>
  <c r="J84" i="81"/>
  <c r="D84" i="81"/>
  <c r="J86" i="81"/>
  <c r="D86" i="81"/>
  <c r="D55" i="81"/>
  <c r="J55" i="81"/>
  <c r="D51" i="81"/>
  <c r="J51" i="81"/>
  <c r="D58" i="81"/>
  <c r="J58" i="81"/>
  <c r="D56" i="81"/>
  <c r="J56" i="81"/>
  <c r="D52" i="81"/>
  <c r="J52" i="81"/>
  <c r="D50" i="81"/>
  <c r="E50" i="81" s="1"/>
  <c r="B48" i="81" s="1"/>
  <c r="J50" i="81"/>
  <c r="J54" i="81"/>
  <c r="D54" i="81"/>
  <c r="J53" i="81"/>
  <c r="D53" i="81"/>
  <c r="E8" i="1"/>
  <c r="E9" i="1"/>
  <c r="E10" i="1"/>
  <c r="E11" i="1"/>
  <c r="E12" i="1"/>
  <c r="E13" i="1"/>
  <c r="E83" i="81" l="1"/>
  <c r="B81" i="81" s="1"/>
  <c r="C28" i="8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C23" i="81" l="1"/>
  <c r="H100" i="43"/>
  <c r="H97" i="43"/>
  <c r="H95" i="43"/>
  <c r="H94" i="43"/>
  <c r="H98" i="43"/>
  <c r="H93" i="43"/>
  <c r="H101" i="43"/>
  <c r="H99" i="43"/>
  <c r="H96" i="43"/>
  <c r="G23" i="78"/>
  <c r="G24" i="78"/>
  <c r="G25" i="78"/>
  <c r="B15" i="78"/>
  <c r="B18" i="78"/>
  <c r="G16" i="73"/>
  <c r="F16" i="73"/>
  <c r="E16" i="73"/>
  <c r="C41" i="81" l="1"/>
  <c r="C42" i="81"/>
  <c r="G17" i="73"/>
  <c r="F17" i="73"/>
  <c r="E17" i="73"/>
  <c r="G42" i="81" l="1"/>
  <c r="I42" i="81" s="1"/>
  <c r="E42" i="81"/>
  <c r="G41" i="81"/>
  <c r="I41" i="81" s="1"/>
  <c r="E41" i="81"/>
  <c r="G18" i="73"/>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U40" i="39"/>
  <c r="S42"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G54" i="43" s="1"/>
  <c r="K54" i="43" s="1"/>
  <c r="J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U25" i="39"/>
  <c r="AB27" i="39"/>
  <c r="J21" i="39"/>
  <c r="W21" i="39" s="1"/>
  <c r="F21" i="39"/>
  <c r="AA21" i="39" s="1"/>
  <c r="H21" i="39"/>
  <c r="U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W25" i="39"/>
  <c r="U13" i="39"/>
  <c r="AB13" i="39"/>
  <c r="AA13" i="39"/>
  <c r="S13" i="39"/>
  <c r="S14" i="39"/>
  <c r="AA14" i="39"/>
  <c r="U43" i="39"/>
  <c r="AB43" i="39"/>
  <c r="AB11" i="39"/>
  <c r="AA27" i="39"/>
  <c r="S27" i="39"/>
  <c r="W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B11" i="76"/>
  <c r="M8" i="15"/>
  <c r="J15" i="67"/>
  <c r="D5" i="73"/>
  <c r="F6" i="73"/>
  <c r="M22" i="15"/>
  <c r="M24" i="15"/>
  <c r="M8" i="67"/>
  <c r="L48" i="67"/>
  <c r="F37" i="15"/>
  <c r="F40" i="67"/>
  <c r="M22" i="67"/>
  <c r="B13" i="76"/>
  <c r="E10" i="76"/>
  <c r="M9" i="15"/>
  <c r="M23" i="67"/>
  <c r="M24" i="67"/>
  <c r="F3" i="73"/>
  <c r="F37" i="67"/>
  <c r="M28" i="67"/>
  <c r="F36" i="15"/>
  <c r="AO13" i="1"/>
  <c r="F4" i="73"/>
  <c r="B10" i="76"/>
  <c r="F7" i="73"/>
  <c r="E12" i="76"/>
  <c r="B8" i="76"/>
  <c r="F38" i="67"/>
  <c r="E13" i="76"/>
  <c r="F9" i="15"/>
  <c r="M29" i="67"/>
  <c r="E9" i="76"/>
  <c r="E2" i="69"/>
  <c r="F7" i="67"/>
  <c r="D3" i="73"/>
  <c r="B12" i="76"/>
  <c r="F6" i="67"/>
  <c r="D6" i="73"/>
  <c r="F38" i="15"/>
  <c r="F26" i="67"/>
  <c r="E7" i="76"/>
  <c r="L47" i="67"/>
  <c r="F43" i="67"/>
  <c r="B9" i="76"/>
  <c r="F20" i="31"/>
  <c r="F13" i="67"/>
  <c r="F42" i="15"/>
  <c r="C16" i="82"/>
  <c r="M6" i="67"/>
  <c r="L48" i="15"/>
  <c r="E11" i="76"/>
  <c r="F36" i="67"/>
  <c r="C76" i="67"/>
  <c r="F13" i="15"/>
  <c r="M28" i="15"/>
  <c r="M6" i="15"/>
  <c r="D7" i="73"/>
  <c r="J15" i="15"/>
  <c r="M29" i="15"/>
  <c r="B7" i="76"/>
  <c r="F8" i="67"/>
  <c r="C76" i="15"/>
  <c r="F40" i="15"/>
  <c r="F7" i="15"/>
  <c r="F42" i="67"/>
  <c r="M23" i="15"/>
  <c r="L47" i="15"/>
  <c r="F6" i="15"/>
  <c r="E2" i="68"/>
  <c r="F9" i="67"/>
  <c r="F8" i="15"/>
  <c r="F43" i="15"/>
  <c r="F16" i="67"/>
  <c r="F5" i="73"/>
  <c r="E8" i="76"/>
  <c r="M9" i="67"/>
  <c r="F26" i="15"/>
  <c r="M26" i="67"/>
  <c r="F16" i="15"/>
  <c r="D4" i="73"/>
  <c r="W17" i="39" l="1"/>
  <c r="U31" i="39"/>
  <c r="S21" i="39"/>
  <c r="U32" i="39"/>
  <c r="AC32" i="39"/>
  <c r="O7" i="1"/>
  <c r="P7" i="1" s="1"/>
  <c r="H50" i="43"/>
  <c r="G50" i="43" s="1"/>
  <c r="K50" i="43" s="1"/>
  <c r="D50" i="43" s="1"/>
  <c r="G123" i="39"/>
  <c r="H123" i="39" s="1"/>
  <c r="I123" i="39" s="1"/>
  <c r="J123" i="39" s="1"/>
  <c r="K123" i="39" s="1"/>
  <c r="L123" i="39" s="1"/>
  <c r="M123" i="39" s="1"/>
  <c r="J41" i="39"/>
  <c r="W41" i="39" s="1"/>
  <c r="AA41" i="39"/>
  <c r="AB21" i="39"/>
  <c r="W27" i="39"/>
  <c r="W23" i="39"/>
  <c r="S19" i="39"/>
  <c r="F90" i="39"/>
  <c r="G90" i="39" s="1"/>
  <c r="F17" i="39"/>
  <c r="AA17" i="39" s="1"/>
  <c r="H17" i="39"/>
  <c r="AB17" i="39" s="1"/>
  <c r="S17" i="39"/>
  <c r="S11" i="39"/>
  <c r="AC11" i="39"/>
  <c r="G7" i="1"/>
  <c r="I24" i="81"/>
  <c r="C24" i="81" s="1"/>
  <c r="G6" i="1"/>
  <c r="I24" i="43"/>
  <c r="J50" i="43"/>
  <c r="M50" i="43"/>
  <c r="N50" i="43" s="1"/>
  <c r="M54" i="43"/>
  <c r="N54" i="43" s="1"/>
  <c r="D54" i="43"/>
  <c r="H67" i="43"/>
  <c r="F54" i="9"/>
  <c r="F28" i="15"/>
  <c r="F32" i="15"/>
  <c r="F60" i="15" s="1"/>
  <c r="F32" i="67"/>
  <c r="F60" i="67" s="1"/>
  <c r="F52" i="9"/>
  <c r="F28" i="67"/>
  <c r="C28" i="67" s="1"/>
  <c r="F30" i="68"/>
  <c r="F48" i="68" s="1"/>
  <c r="D93" i="9"/>
  <c r="C40" i="68"/>
  <c r="C21" i="68"/>
  <c r="C40" i="69"/>
  <c r="G5" i="3"/>
  <c r="B3" i="3" s="1"/>
  <c r="E154" i="3" s="1"/>
  <c r="E500" i="3"/>
  <c r="E176" i="3"/>
  <c r="E522" i="3"/>
  <c r="E375" i="3"/>
  <c r="E149" i="3"/>
  <c r="E255" i="3"/>
  <c r="E241" i="3"/>
  <c r="E65" i="3"/>
  <c r="E386" i="3"/>
  <c r="E250" i="3"/>
  <c r="E205" i="3"/>
  <c r="E173" i="3"/>
  <c r="E534" i="3"/>
  <c r="E405" i="3"/>
  <c r="E469" i="3"/>
  <c r="E408" i="3"/>
  <c r="E360" i="3"/>
  <c r="E497" i="3"/>
  <c r="E494" i="3"/>
  <c r="E483" i="3"/>
  <c r="E401" i="3"/>
  <c r="E463" i="3"/>
  <c r="E40" i="3"/>
  <c r="E25" i="3"/>
  <c r="E108" i="3"/>
  <c r="E178" i="3"/>
  <c r="E119" i="3"/>
  <c r="E202" i="3"/>
  <c r="E242" i="3"/>
  <c r="E226" i="3"/>
  <c r="E276" i="3"/>
  <c r="E346" i="3"/>
  <c r="E333" i="3"/>
  <c r="E372" i="3"/>
  <c r="L6" i="3"/>
  <c r="E60" i="3"/>
  <c r="E43" i="3"/>
  <c r="E540" i="3"/>
  <c r="E473" i="3"/>
  <c r="E15" i="3"/>
  <c r="E455" i="3"/>
  <c r="BA5" i="3"/>
  <c r="BL5" i="3"/>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AC41" i="39" l="1"/>
  <c r="U17" i="39"/>
  <c r="M11" i="82"/>
  <c r="J10" i="82" s="1"/>
  <c r="J5" i="82" s="1"/>
  <c r="F11" i="82"/>
  <c r="C39" i="81"/>
  <c r="C38" i="81"/>
  <c r="T7" i="81"/>
  <c r="V7" i="81" s="1"/>
  <c r="T3" i="81"/>
  <c r="V3" i="81" s="1"/>
  <c r="T9" i="81"/>
  <c r="V9" i="81" s="1"/>
  <c r="T16" i="81"/>
  <c r="V16" i="81" s="1"/>
  <c r="T10" i="81"/>
  <c r="V10" i="81" s="1"/>
  <c r="T5" i="81"/>
  <c r="V5" i="81" s="1"/>
  <c r="T13" i="81"/>
  <c r="V13" i="81" s="1"/>
  <c r="C33" i="81"/>
  <c r="C37" i="81"/>
  <c r="C40" i="81"/>
  <c r="T2" i="81"/>
  <c r="V2" i="81" s="1"/>
  <c r="T11" i="81"/>
  <c r="V11" i="81" s="1"/>
  <c r="T6" i="81"/>
  <c r="V6" i="81" s="1"/>
  <c r="T14" i="81"/>
  <c r="V14" i="81" s="1"/>
  <c r="T4" i="81"/>
  <c r="V4" i="81" s="1"/>
  <c r="T12" i="81"/>
  <c r="V12" i="81" s="1"/>
  <c r="T8" i="81"/>
  <c r="V8" i="81" s="1"/>
  <c r="T15" i="81"/>
  <c r="V15" i="81" s="1"/>
  <c r="K57" i="43"/>
  <c r="J57" i="43" s="1"/>
  <c r="D57" i="43" s="1"/>
  <c r="M57" i="43"/>
  <c r="N57" i="43" s="1"/>
  <c r="M55" i="43"/>
  <c r="N55" i="43" s="1"/>
  <c r="K55" i="43"/>
  <c r="K56" i="43"/>
  <c r="M56" i="43"/>
  <c r="N56" i="43" s="1"/>
  <c r="M58" i="43"/>
  <c r="N58" i="43" s="1"/>
  <c r="K58" i="43"/>
  <c r="K53" i="43"/>
  <c r="M53" i="43"/>
  <c r="N53" i="43" s="1"/>
  <c r="K52" i="43"/>
  <c r="M52" i="43"/>
  <c r="N52" i="43" s="1"/>
  <c r="M51" i="43"/>
  <c r="N51" i="43" s="1"/>
  <c r="K51" i="43"/>
  <c r="P6" i="1"/>
  <c r="C13" i="12" s="1"/>
  <c r="C30" i="68"/>
  <c r="K16" i="1"/>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412" i="3"/>
  <c r="E482" i="3"/>
  <c r="E428" i="3"/>
  <c r="E75" i="3"/>
  <c r="E94" i="3"/>
  <c r="E42" i="3"/>
  <c r="AL6" i="3"/>
  <c r="E356" i="3"/>
  <c r="E391" i="3"/>
  <c r="E332" i="3"/>
  <c r="E243" i="3"/>
  <c r="E281" i="3"/>
  <c r="E225" i="3"/>
  <c r="E139" i="3"/>
  <c r="E198" i="3"/>
  <c r="E115" i="3"/>
  <c r="E41" i="3"/>
  <c r="E104" i="3"/>
  <c r="E26" i="3"/>
  <c r="E420" i="3"/>
  <c r="E470" i="3"/>
  <c r="E452" i="3"/>
  <c r="E13" i="3"/>
  <c r="E556" i="3"/>
  <c r="E451" i="3"/>
  <c r="E512" i="3"/>
  <c r="E456" i="3"/>
  <c r="T6" i="3"/>
  <c r="E525" i="3"/>
  <c r="E140" i="3"/>
  <c r="E341" i="3"/>
  <c r="E24" i="3"/>
  <c r="E248" i="3"/>
  <c r="E409" i="3"/>
  <c r="E479" i="3"/>
  <c r="E499" i="3"/>
  <c r="E582" i="3"/>
  <c r="E190" i="3"/>
  <c r="E370" i="3"/>
  <c r="E524" i="3"/>
  <c r="E170" i="3"/>
  <c r="E340" i="3"/>
  <c r="E369" i="3"/>
  <c r="E197" i="3"/>
  <c r="E296" i="3"/>
  <c r="E510" i="3"/>
  <c r="E284" i="3"/>
  <c r="E87" i="3"/>
  <c r="E584" i="3"/>
  <c r="E266" i="3"/>
  <c r="E195" i="3"/>
  <c r="E47" i="3"/>
  <c r="E389" i="3"/>
  <c r="E152" i="3"/>
  <c r="E517" i="3"/>
  <c r="E466" i="3"/>
  <c r="E212" i="3"/>
  <c r="E464" i="3"/>
  <c r="E131" i="3"/>
  <c r="E18" i="3"/>
  <c r="E235" i="3"/>
  <c r="E49" i="3"/>
  <c r="E20" i="3"/>
  <c r="E265" i="3"/>
  <c r="E244" i="3"/>
  <c r="E378" i="3"/>
  <c r="E392" i="3"/>
  <c r="E373" i="3"/>
  <c r="AT6" i="3"/>
  <c r="E419" i="3"/>
  <c r="E498" i="3"/>
  <c r="J6" i="3"/>
  <c r="AH6" i="3"/>
  <c r="E376" i="3"/>
  <c r="E490" i="3"/>
  <c r="E440" i="3"/>
  <c r="E422" i="3"/>
  <c r="E507" i="3"/>
  <c r="E486" i="3"/>
  <c r="E427" i="3"/>
  <c r="E543" i="3"/>
  <c r="E564" i="3"/>
  <c r="E493" i="3"/>
  <c r="E393" i="3"/>
  <c r="E105" i="3"/>
  <c r="E116" i="3"/>
  <c r="E223" i="3"/>
  <c r="E188" i="3"/>
  <c r="E16" i="3"/>
  <c r="E329" i="3"/>
  <c r="E381" i="3"/>
  <c r="E355" i="3"/>
  <c r="E233" i="3"/>
  <c r="E127" i="3"/>
  <c r="E48" i="3"/>
  <c r="E66" i="3"/>
  <c r="E354" i="3"/>
  <c r="E307" i="3"/>
  <c r="E209" i="3"/>
  <c r="E163" i="3"/>
  <c r="E138" i="3"/>
  <c r="E98" i="3"/>
  <c r="E425" i="3"/>
  <c r="E76" i="3"/>
  <c r="E363" i="3"/>
  <c r="E192" i="3"/>
  <c r="E37" i="3"/>
  <c r="E491" i="3"/>
  <c r="AP6" i="3"/>
  <c r="E430" i="3"/>
  <c r="E502" i="3"/>
  <c r="E286" i="3"/>
  <c r="E536" i="3"/>
  <c r="AD6" i="3"/>
  <c r="E459" i="3"/>
  <c r="E436" i="3"/>
  <c r="E297" i="3"/>
  <c r="E488" i="3"/>
  <c r="E78" i="3"/>
  <c r="E220" i="3"/>
  <c r="E383" i="3"/>
  <c r="E86" i="3"/>
  <c r="E232" i="3"/>
  <c r="E50" i="3"/>
  <c r="E62" i="3"/>
  <c r="E218" i="3"/>
  <c r="E365" i="3"/>
  <c r="E101" i="3"/>
  <c r="E421" i="3"/>
  <c r="E57" i="3"/>
  <c r="E446" i="3"/>
  <c r="E219" i="3"/>
  <c r="E112" i="3"/>
  <c r="E51" i="3"/>
  <c r="E222" i="3"/>
  <c r="E165" i="3"/>
  <c r="E167" i="3"/>
  <c r="E487" i="3"/>
  <c r="E413" i="3"/>
  <c r="E187" i="3"/>
  <c r="E504" i="3"/>
  <c r="E79" i="3"/>
  <c r="E137" i="3"/>
  <c r="E299" i="3"/>
  <c r="AQ6" i="3"/>
  <c r="E123" i="3"/>
  <c r="E364" i="3"/>
  <c r="E63" i="3"/>
  <c r="E118" i="3"/>
  <c r="E283" i="3"/>
  <c r="E513" i="3"/>
  <c r="E542" i="3"/>
  <c r="E39" i="3"/>
  <c r="E259" i="3"/>
  <c r="E462" i="3"/>
  <c r="E100" i="3"/>
  <c r="E234" i="3"/>
  <c r="E325" i="3"/>
  <c r="E36" i="3"/>
  <c r="E289" i="3"/>
  <c r="E68" i="3"/>
  <c r="E264" i="3"/>
  <c r="E309" i="3"/>
  <c r="E374" i="3"/>
  <c r="E81" i="3"/>
  <c r="E21" i="3"/>
  <c r="E82" i="3"/>
  <c r="E323" i="3"/>
  <c r="E179" i="3"/>
  <c r="E19" i="3"/>
  <c r="Y6" i="3"/>
  <c r="E147" i="3"/>
  <c r="E52" i="3"/>
  <c r="E339" i="3"/>
  <c r="E194" i="3"/>
  <c r="E38" i="3"/>
  <c r="E110" i="3"/>
  <c r="E240" i="3"/>
  <c r="E520" i="3"/>
  <c r="E416" i="3"/>
  <c r="E312" i="3"/>
  <c r="E83" i="3"/>
  <c r="E22" i="3"/>
  <c r="E326" i="3"/>
  <c r="E308" i="3"/>
  <c r="E287" i="3"/>
  <c r="E158" i="3"/>
  <c r="E113" i="3"/>
  <c r="E80" i="3"/>
  <c r="E102" i="3"/>
  <c r="AF6" i="3"/>
  <c r="E251" i="3"/>
  <c r="E206" i="3"/>
  <c r="E34" i="3"/>
  <c r="E35" i="3"/>
  <c r="E342" i="3"/>
  <c r="E324" i="3"/>
  <c r="E275" i="3"/>
  <c r="E174" i="3"/>
  <c r="E129" i="3"/>
  <c r="E96" i="3"/>
  <c r="E521" i="3"/>
  <c r="E58" i="3"/>
  <c r="E348" i="3"/>
  <c r="E155" i="3"/>
  <c r="E90" i="3"/>
  <c r="E460" i="3"/>
  <c r="E566" i="3"/>
  <c r="E398" i="3"/>
  <c r="E552" i="3"/>
  <c r="E141" i="3"/>
  <c r="E539" i="3"/>
  <c r="E148" i="3"/>
  <c r="E199" i="3"/>
  <c r="E575" i="3"/>
  <c r="R6" i="3"/>
  <c r="E442" i="3"/>
  <c r="E541" i="3"/>
  <c r="E449" i="3"/>
  <c r="I3" i="6"/>
  <c r="E554" i="3"/>
  <c r="E435" i="3"/>
  <c r="E417" i="3"/>
  <c r="E56" i="3"/>
  <c r="E95" i="3"/>
  <c r="E132" i="3"/>
  <c r="E258" i="3"/>
  <c r="E292" i="3"/>
  <c r="E349" i="3"/>
  <c r="E544" i="3"/>
  <c r="E59" i="3"/>
  <c r="E484" i="3"/>
  <c r="E467" i="3"/>
  <c r="E64" i="3"/>
  <c r="E46" i="3"/>
  <c r="E103" i="3"/>
  <c r="E160" i="3"/>
  <c r="E142" i="3"/>
  <c r="E200" i="3"/>
  <c r="E267" i="3"/>
  <c r="E249" i="3"/>
  <c r="E300" i="3"/>
  <c r="E371" i="3"/>
  <c r="E310" i="3"/>
  <c r="E492" i="3"/>
  <c r="E23" i="3"/>
  <c r="E84" i="3"/>
  <c r="E67" i="3"/>
  <c r="E33" i="3"/>
  <c r="E144" i="3"/>
  <c r="E184" i="3"/>
  <c r="G26" i="43"/>
  <c r="D26" i="43" s="1"/>
  <c r="C25" i="43" s="1"/>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AE7" i="1"/>
  <c r="C53" i="82" l="1"/>
  <c r="C48" i="82" s="1"/>
  <c r="C10" i="82"/>
  <c r="C5" i="82" s="1"/>
  <c r="C24" i="82"/>
  <c r="J24" i="82"/>
  <c r="J26" i="82"/>
  <c r="E40" i="81"/>
  <c r="G40" i="81"/>
  <c r="I40" i="81" s="1"/>
  <c r="C34" i="81"/>
  <c r="E34" i="81" s="1"/>
  <c r="E33" i="81"/>
  <c r="E38" i="81"/>
  <c r="G38" i="81"/>
  <c r="I38" i="81" s="1"/>
  <c r="E37" i="81"/>
  <c r="G37" i="81"/>
  <c r="I37" i="81" s="1"/>
  <c r="E39" i="81"/>
  <c r="G39" i="81"/>
  <c r="I39" i="81" s="1"/>
  <c r="L36" i="43"/>
  <c r="L37" i="43" s="1"/>
  <c r="L36" i="81"/>
  <c r="J51" i="43"/>
  <c r="D51" i="43"/>
  <c r="J58" i="43"/>
  <c r="D58" i="43"/>
  <c r="J55" i="43"/>
  <c r="D55" i="43"/>
  <c r="J52" i="43"/>
  <c r="D52" i="43"/>
  <c r="D53" i="43"/>
  <c r="J53" i="43"/>
  <c r="J56" i="43"/>
  <c r="D56" i="43"/>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F41" i="82"/>
  <c r="M27" i="67"/>
  <c r="F69" i="82" l="1"/>
  <c r="J29" i="82"/>
  <c r="C31" i="81"/>
  <c r="C66" i="82"/>
  <c r="C60" i="82"/>
  <c r="C38" i="82"/>
  <c r="C30" i="81"/>
  <c r="B2" i="81" s="1"/>
  <c r="B3" i="81" s="1"/>
  <c r="Q36" i="43"/>
  <c r="M36" i="43"/>
  <c r="P36" i="43"/>
  <c r="O36" i="43"/>
  <c r="N36" i="43"/>
  <c r="L37" i="81"/>
  <c r="Q36" i="81"/>
  <c r="O36" i="81"/>
  <c r="M36" i="81"/>
  <c r="P36" i="81"/>
  <c r="N36" i="8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P37" i="81" l="1"/>
  <c r="N37" i="81"/>
  <c r="Q37" i="81"/>
  <c r="O37" i="81"/>
  <c r="M37" i="8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C37" i="43"/>
  <c r="C39" i="43"/>
  <c r="C38"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C14" i="15"/>
  <c r="C15" i="82" l="1"/>
  <c r="C18" i="82"/>
  <c r="C18" i="12"/>
  <c r="G38" i="43"/>
  <c r="I38" i="43" s="1"/>
  <c r="E38" i="43"/>
  <c r="E37" i="43"/>
  <c r="G37" i="43"/>
  <c r="I37" i="43" s="1"/>
  <c r="E41" i="43"/>
  <c r="G41" i="43"/>
  <c r="I41" i="43" s="1"/>
  <c r="E39" i="43"/>
  <c r="G39" i="43"/>
  <c r="I39" i="43" s="1"/>
  <c r="C34" i="43"/>
  <c r="E34" i="43" s="1"/>
  <c r="E33" i="43"/>
  <c r="E42" i="43"/>
  <c r="G42" i="43"/>
  <c r="I42" i="43" s="1"/>
  <c r="E40" i="43"/>
  <c r="G40" i="43"/>
  <c r="I40" i="43"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C19" i="82" l="1"/>
  <c r="C20" i="82" s="1"/>
  <c r="C26" i="82" s="1"/>
  <c r="C31" i="43"/>
  <c r="C21" i="12"/>
  <c r="C22" i="12" s="1"/>
  <c r="C30" i="12" s="1"/>
  <c r="C28" i="12" s="1"/>
  <c r="C30" i="43"/>
  <c r="J7" i="21"/>
  <c r="D7" i="71"/>
  <c r="C6"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C39" i="68" l="1"/>
  <c r="C43" i="68" s="1"/>
  <c r="C91" i="9"/>
  <c r="C23" i="82"/>
  <c r="C29" i="82" s="1"/>
  <c r="C57" i="82" s="1"/>
  <c r="C64" i="82" s="1"/>
  <c r="C27" i="12"/>
  <c r="C25" i="12" s="1"/>
  <c r="C32" i="12" s="1"/>
  <c r="B2" i="12" s="1"/>
  <c r="B3" i="12" s="1"/>
  <c r="E2" i="76"/>
  <c r="B2" i="43"/>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F35" i="82"/>
  <c r="F35" i="67"/>
  <c r="B6" i="76"/>
  <c r="M21" i="67"/>
  <c r="M21" i="15"/>
  <c r="M21" i="82"/>
  <c r="C46" i="68" l="1"/>
  <c r="C45" i="68" s="1"/>
  <c r="C92" i="9"/>
  <c r="C94" i="9"/>
  <c r="C13" i="82"/>
  <c r="C75" i="82" s="1"/>
  <c r="J14" i="82"/>
  <c r="J13" i="82" s="1"/>
  <c r="J23" i="82" s="1"/>
  <c r="C36" i="82"/>
  <c r="J59" i="82"/>
  <c r="J60" i="82" s="1"/>
  <c r="Q48" i="82" s="1"/>
  <c r="Q49" i="82"/>
  <c r="F63" i="82"/>
  <c r="C62" i="82" s="1"/>
  <c r="C59" i="82" s="1"/>
  <c r="C34" i="82"/>
  <c r="C31" i="82" s="1"/>
  <c r="J20" i="82"/>
  <c r="J17" i="82" s="1"/>
  <c r="B2" i="76"/>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Q70" i="82"/>
  <c r="J22" i="82"/>
  <c r="J16" i="82" s="1"/>
  <c r="J25" i="82" s="1"/>
  <c r="L46" i="82"/>
  <c r="C56" i="82"/>
  <c r="C65" i="82" s="1"/>
  <c r="C58" i="82" s="1"/>
  <c r="C67" i="82" s="1"/>
  <c r="C68" i="82" s="1"/>
  <c r="C71" i="82" s="1"/>
  <c r="C37" i="82"/>
  <c r="C30" i="82" s="1"/>
  <c r="C39"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9" i="82" l="1"/>
  <c r="Q68" i="82" s="1"/>
  <c r="C80" i="82"/>
  <c r="C79" i="82" s="1"/>
  <c r="I39" i="82"/>
  <c r="C40" i="82"/>
  <c r="C46" i="82" s="1"/>
  <c r="Q67" i="82"/>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5" i="82" l="1"/>
  <c r="Q75" i="82" s="1"/>
  <c r="C83" i="82"/>
  <c r="C82" i="82" s="1"/>
  <c r="C43" i="82"/>
  <c r="B2" i="82"/>
  <c r="B3" i="82" s="1"/>
  <c r="Q56" i="82"/>
  <c r="Q62" i="82" s="1"/>
  <c r="Q47" i="82"/>
  <c r="Q53" i="82" s="1"/>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C44"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1" i="1"/>
  <c r="AO10" i="1"/>
  <c r="AO9"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C42" i="40"/>
  <c r="C43" i="40"/>
  <c r="E47" i="40"/>
  <c r="F47" i="40" s="1"/>
  <c r="E46" i="40"/>
  <c r="F46" i="40" s="1"/>
  <c r="I47" i="40"/>
  <c r="J47" i="40" s="1"/>
  <c r="D19" i="9"/>
  <c r="B3" i="39" l="1"/>
  <c r="C7" i="68"/>
  <c r="C5" i="68" s="1"/>
  <c r="D21"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C25" i="68" s="1"/>
  <c r="D103" i="9"/>
  <c r="C28" i="68" l="1"/>
  <c r="C27" i="68" s="1"/>
  <c r="C22" i="68"/>
  <c r="C31" i="68" l="1"/>
  <c r="C52" i="68" s="1"/>
  <c r="B2" i="68" s="1"/>
  <c r="C19" i="9"/>
  <c r="C57" i="68" l="1"/>
  <c r="C56" i="68" s="1"/>
  <c r="C21" i="9"/>
  <c r="C102" i="9"/>
  <c r="D22" i="9"/>
  <c r="G19" i="9"/>
  <c r="B3" i="68"/>
  <c r="D35" i="9"/>
  <c r="D34" i="9"/>
  <c r="C20" i="9"/>
  <c r="C103" i="9" l="1"/>
  <c r="G20" i="9"/>
  <c r="G21" i="9"/>
  <c r="D28" i="9"/>
  <c r="C32" i="9"/>
  <c r="C35" i="9" l="1"/>
  <c r="H118" i="9"/>
  <c r="D14" i="74" s="1"/>
  <c r="G14" i="74" s="1"/>
  <c r="B6" i="74" s="1"/>
  <c r="D6" i="74" s="1"/>
  <c r="E14" i="74" l="1"/>
  <c r="B5" i="74"/>
  <c r="D5" i="74" s="1"/>
  <c r="F14" i="74"/>
  <c r="I118" i="9"/>
  <c r="C104" i="9"/>
  <c r="H4" i="52"/>
  <c r="H101" i="9"/>
  <c r="H119" i="9"/>
  <c r="H5" i="52" s="1"/>
  <c r="C34" i="9"/>
  <c r="D118" i="9" s="1"/>
  <c r="F118" i="9"/>
  <c r="G118" i="9" l="1"/>
  <c r="G4" i="52" s="1"/>
  <c r="B52" i="72" s="1"/>
  <c r="F4" i="52"/>
  <c r="B51" i="72" s="1"/>
  <c r="F119" i="9"/>
  <c r="F5" i="52" s="1"/>
  <c r="B53" i="72" s="1"/>
  <c r="D119" i="9"/>
  <c r="D5" i="52" s="1"/>
  <c r="B49" i="72" s="1"/>
  <c r="D4" i="52"/>
  <c r="B47" i="72" s="1"/>
  <c r="D45" i="9"/>
  <c r="M48" i="9"/>
  <c r="D5" i="53"/>
  <c r="H107" i="9"/>
  <c r="I4" i="52"/>
  <c r="C105" i="9"/>
  <c r="H102" i="9"/>
  <c r="E118" i="9" l="1"/>
  <c r="E4" i="52" s="1"/>
  <c r="B48" i="72" s="1"/>
  <c r="D6" i="53"/>
  <c r="B22" i="72" s="1"/>
  <c r="B20" i="72"/>
  <c r="D53" i="9"/>
  <c r="D48" i="9" s="1"/>
  <c r="M52" i="9" s="1"/>
  <c r="C64" i="9"/>
  <c r="C63" i="9" s="1"/>
  <c r="C67" i="9" s="1"/>
  <c r="C85" i="9"/>
  <c r="D55" i="9"/>
  <c r="M53" i="9" s="1"/>
  <c r="C93" i="9"/>
  <c r="C86" i="9" s="1"/>
  <c r="C72" i="9"/>
  <c r="D52" i="9"/>
  <c r="C78" i="9"/>
  <c r="C73" i="9" s="1"/>
  <c r="C5" i="74"/>
  <c r="D7" i="53"/>
  <c r="B21" i="72" s="1"/>
  <c r="D13" i="53"/>
  <c r="H108" i="9"/>
  <c r="M49" i="9"/>
  <c r="D122" i="9"/>
  <c r="L63" i="9" l="1"/>
  <c r="M63" i="9" s="1"/>
  <c r="L67" i="9"/>
  <c r="M67" i="9" s="1"/>
  <c r="L66" i="9"/>
  <c r="M66" i="9" s="1"/>
  <c r="L64" i="9"/>
  <c r="M64" i="9" s="1"/>
  <c r="L68" i="9"/>
  <c r="M68" i="9" s="1"/>
  <c r="L65" i="9"/>
  <c r="M65" i="9" s="1"/>
  <c r="C95" i="9"/>
  <c r="D123" i="9"/>
  <c r="D9" i="52" s="1"/>
  <c r="D8" i="52"/>
  <c r="D15" i="53"/>
  <c r="B31" i="72" s="1"/>
  <c r="C6" i="74"/>
  <c r="C79" i="9"/>
  <c r="C68" i="9"/>
  <c r="D54" i="9" s="1"/>
  <c r="D59" i="9"/>
  <c r="M55" i="9" s="1"/>
  <c r="B30" i="72"/>
  <c r="D14" i="53"/>
  <c r="B32" i="72" s="1"/>
  <c r="C80" i="9" l="1"/>
  <c r="E80" i="9" s="1"/>
  <c r="E81" i="9" s="1"/>
  <c r="C96" i="9"/>
  <c r="E96" i="9" s="1"/>
  <c r="E97" i="9" s="1"/>
  <c r="M69" i="9"/>
  <c r="N69" i="9" s="1"/>
  <c r="C81" i="9" l="1"/>
  <c r="C97" i="9"/>
  <c r="D58" i="9" s="1"/>
  <c r="D56" i="9" s="1"/>
  <c r="M54" i="9" s="1"/>
  <c r="N57" i="9" s="1"/>
  <c r="N58" i="9" l="1"/>
  <c r="P57" i="9"/>
  <c r="N59" i="9"/>
  <c r="I14" i="74" s="1"/>
  <c r="B8" i="74" s="1"/>
  <c r="C8" i="74" l="1"/>
  <c r="D8" i="74"/>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F43" authorId="0">
      <text>
        <r>
          <rPr>
            <b/>
            <sz val="9"/>
            <color indexed="81"/>
            <rFont val="宋体"/>
            <family val="3"/>
            <charset val="134"/>
          </rPr>
          <t>USER:</t>
        </r>
        <r>
          <rPr>
            <sz val="9"/>
            <color indexed="81"/>
            <rFont val="宋体"/>
            <family val="3"/>
            <charset val="134"/>
          </rPr>
          <t xml:space="preserve">
面积明细表少2平方米</t>
        </r>
      </text>
    </comment>
    <comment ref="D44" authorId="0">
      <text>
        <r>
          <rPr>
            <b/>
            <sz val="9"/>
            <color indexed="81"/>
            <rFont val="宋体"/>
            <family val="3"/>
            <charset val="134"/>
          </rPr>
          <t>USER:</t>
        </r>
        <r>
          <rPr>
            <sz val="9"/>
            <color indexed="81"/>
            <rFont val="宋体"/>
            <family val="3"/>
            <charset val="134"/>
          </rPr>
          <t xml:space="preserve">
面积表多10平方米</t>
        </r>
      </text>
    </comment>
    <comment ref="H44" authorId="0">
      <text>
        <r>
          <rPr>
            <b/>
            <sz val="9"/>
            <color indexed="81"/>
            <rFont val="宋体"/>
            <family val="3"/>
            <charset val="134"/>
          </rPr>
          <t>USER:</t>
        </r>
        <r>
          <rPr>
            <sz val="9"/>
            <color indexed="81"/>
            <rFont val="宋体"/>
            <family val="3"/>
            <charset val="134"/>
          </rPr>
          <t xml:space="preserve">
面积表少10平方米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<sst xmlns="http://schemas.openxmlformats.org/spreadsheetml/2006/main" count="8909" uniqueCount="3594">
  <si>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</si>
  <si>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</si>
  <si>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</si>
  <si>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</si>
  <si>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</si>
  <si>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</si>
  <si>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</si>
  <si>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</si>
  <si>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</si>
  <si>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</si>
  <si>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</si>
  <si>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</si>
  <si>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</si>
  <si>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</si>
  <si>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</si>
  <si>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</si>
  <si>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</si>
  <si>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</si>
  <si>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</si>
  <si>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</si>
  <si>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</si>
  <si>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</si>
  <si>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</si>
  <si>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</si>
  <si>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</si>
  <si>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</si>
  <si>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</si>
  <si>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</si>
  <si>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</si>
  <si>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</si>
  <si>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</si>
  <si>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</si>
  <si>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</si>
  <si>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</si>
  <si>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</si>
  <si>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</si>
  <si>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</si>
  <si>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</si>
  <si>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</si>
  <si>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</si>
  <si>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</si>
  <si>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</si>
  <si>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</si>
  <si>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</si>
  <si>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</si>
  <si>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</si>
  <si>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</si>
  <si>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</si>
  <si>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</si>
  <si>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</si>
  <si>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</si>
  <si>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</si>
  <si>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</si>
  <si>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</si>
  <si>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</si>
  <si>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</si>
  <si>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</si>
  <si>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</si>
  <si>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</si>
  <si>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</si>
  <si>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</si>
  <si>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</si>
  <si>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</si>
  <si>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</si>
  <si>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</si>
  <si>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</si>
  <si>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</si>
  <si>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</si>
  <si>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</si>
  <si>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</si>
  <si>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</si>
  <si>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</si>
  <si>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</si>
  <si>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</si>
  <si>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</si>
  <si>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</si>
  <si>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</si>
  <si>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</si>
  <si>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</si>
  <si>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</si>
  <si>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</si>
  <si>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</si>
  <si>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</si>
  <si>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</si>
  <si>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</si>
  <si>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</si>
  <si>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</si>
  <si>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</si>
  <si>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</si>
  <si>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</si>
  <si>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</si>
  <si>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</si>
  <si>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</si>
  <si>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</si>
  <si>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</si>
  <si>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</si>
  <si>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</si>
  <si>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</si>
  <si>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</si>
  <si>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</si>
  <si>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</si>
  <si>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</si>
  <si>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</si>
  <si>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</si>
  <si>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</si>
  <si>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</si>
  <si>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</si>
  <si>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</si>
  <si>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</si>
  <si>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</si>
  <si>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</si>
  <si>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</si>
  <si>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</si>
  <si>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</si>
  <si>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</si>
  <si>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</si>
  <si>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</si>
  <si>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</si>
  <si>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</si>
  <si>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</si>
  <si>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</si>
  <si>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</si>
  <si>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</si>
  <si>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</si>
  <si>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</si>
  <si>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</si>
  <si>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</si>
  <si>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</si>
  <si>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</si>
  <si>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</si>
  <si>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</si>
  <si>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</si>
  <si>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</si>
  <si>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</si>
  <si>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</si>
  <si>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</si>
  <si>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</si>
  <si>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</si>
  <si>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</si>
  <si>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</si>
  <si>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</si>
  <si>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</si>
  <si>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</si>
  <si>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</si>
  <si>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</si>
  <si>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</si>
  <si>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</si>
  <si>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</si>
  <si>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</si>
  <si>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</si>
  <si>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</si>
  <si>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</si>
  <si>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</si>
  <si>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</si>
  <si>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</si>
  <si>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</si>
  <si>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</si>
  <si>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</si>
  <si>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</si>
  <si>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</si>
  <si>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</si>
  <si>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</si>
  <si>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</si>
  <si>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</si>
  <si>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</si>
  <si>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</si>
  <si>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</si>
  <si>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</si>
  <si>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</si>
  <si>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</si>
  <si>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</si>
  <si>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</si>
  <si>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</si>
  <si>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</si>
  <si>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</si>
  <si>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</si>
  <si>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</si>
  <si>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</si>
  <si>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</si>
  <si>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</si>
  <si>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</si>
  <si>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</si>
  <si>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</si>
  <si>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</si>
  <si>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</si>
  <si>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</si>
  <si>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</si>
  <si>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</si>
  <si>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</si>
  <si>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</si>
  <si>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</si>
  <si>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</si>
  <si>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</si>
  <si>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</si>
  <si>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</si>
  <si>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</si>
  <si>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</si>
  <si>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</si>
  <si>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</si>
  <si>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</si>
  <si>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</si>
  <si>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</si>
  <si>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</si>
  <si>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</si>
  <si>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</si>
  <si>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</si>
  <si>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</si>
  <si>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</si>
  <si>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</si>
  <si>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</si>
  <si>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</si>
  <si>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</si>
  <si>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</si>
  <si>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</si>
  <si>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</si>
  <si>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</si>
  <si>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</si>
  <si>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</si>
  <si>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</si>
  <si>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</si>
  <si>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</si>
  <si>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</si>
  <si>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</si>
  <si>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</si>
  <si>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</si>
  <si>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</si>
  <si>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</si>
  <si>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</si>
  <si>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</si>
  <si>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</si>
  <si>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</si>
  <si>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</si>
  <si>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</si>
  <si>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</si>
  <si>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</si>
  <si>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</si>
  <si>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</si>
  <si>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</si>
  <si>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</si>
  <si>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</si>
  <si>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</si>
  <si>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</si>
  <si>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</si>
  <si>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</si>
  <si>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</si>
  <si>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</si>
  <si>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</si>
  <si>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</si>
  <si>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</si>
  <si>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</si>
  <si>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</si>
  <si>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</si>
  <si>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</si>
  <si>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</si>
  <si>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</si>
  <si>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</si>
  <si>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</si>
  <si>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</si>
  <si>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</si>
  <si>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</si>
  <si>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</si>
  <si>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</si>
  <si>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</si>
  <si>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</si>
  <si>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</si>
  <si>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</si>
  <si>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</si>
  <si>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</si>
  <si>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</si>
  <si>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</si>
  <si>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</si>
  <si>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</si>
  <si>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</si>
  <si>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</si>
  <si>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</si>
  <si>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</si>
  <si>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</si>
  <si>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</si>
  <si>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</si>
  <si>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</si>
  <si>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</si>
  <si>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</si>
  <si>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</si>
  <si>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</si>
  <si>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</si>
  <si>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</si>
  <si>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</si>
  <si>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</si>
  <si>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</si>
  <si>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</si>
  <si>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</si>
  <si>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</si>
  <si>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</si>
  <si>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</si>
  <si>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</si>
  <si>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</si>
  <si>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</si>
  <si>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</si>
  <si>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</si>
  <si>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</si>
  <si>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</si>
  <si>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</si>
  <si>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</si>
  <si>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</si>
  <si>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</si>
  <si>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</si>
  <si>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</si>
  <si>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</si>
  <si>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</si>
  <si>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</si>
  <si>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</si>
  <si>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</si>
  <si>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</si>
  <si>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</si>
  <si>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</si>
  <si>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</si>
  <si>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</si>
  <si>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</si>
  <si>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</si>
  <si>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</si>
  <si>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</si>
  <si>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</si>
  <si>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</si>
  <si>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</si>
  <si>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</si>
  <si>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</si>
  <si>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</si>
  <si>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</si>
  <si>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</si>
  <si>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</si>
  <si>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</si>
  <si>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</si>
  <si>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</si>
  <si>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</si>
  <si>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</si>
  <si>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</si>
  <si>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</si>
  <si>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</si>
  <si>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</si>
  <si>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</si>
  <si>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</si>
  <si>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</si>
  <si>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</si>
  <si>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</si>
  <si>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</si>
  <si>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</si>
  <si>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</si>
  <si>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</si>
  <si>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</si>
  <si>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</si>
  <si>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</si>
  <si>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</si>
  <si>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</si>
  <si>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</si>
  <si>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</si>
  <si>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</si>
  <si>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</si>
  <si>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</si>
  <si>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</si>
  <si>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</si>
  <si>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</si>
  <si>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</si>
  <si>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</si>
  <si>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</si>
  <si>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</si>
  <si>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</si>
  <si>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</si>
  <si>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</si>
  <si>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</si>
  <si>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</si>
  <si>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</si>
  <si>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</si>
  <si>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</si>
  <si>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</si>
  <si>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</si>
  <si>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</si>
  <si>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</si>
  <si>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</si>
  <si>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</si>
  <si>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</si>
  <si>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</si>
  <si>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</si>
  <si>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</si>
  <si>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</si>
  <si>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</si>
  <si>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</si>
  <si>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</si>
  <si>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</si>
  <si>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</si>
  <si>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</si>
  <si>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</si>
  <si>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</si>
  <si>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</si>
  <si>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</si>
  <si>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</si>
  <si>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</si>
  <si>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</si>
  <si>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</si>
  <si>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</si>
  <si>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</si>
  <si>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</si>
  <si>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</si>
  <si>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</si>
  <si>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</si>
  <si>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</si>
  <si>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</si>
  <si>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</si>
  <si>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</si>
  <si>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</si>
  <si>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</si>
  <si>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</si>
  <si>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</si>
  <si>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</si>
  <si>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</si>
  <si>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</si>
  <si>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</si>
  <si>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</si>
  <si>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</si>
  <si>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</si>
  <si>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</si>
  <si>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</si>
  <si>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</si>
  <si>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</si>
  <si>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</si>
  <si>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</si>
  <si>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</si>
  <si>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</si>
  <si>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</si>
  <si>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</si>
  <si>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</si>
  <si>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</si>
  <si>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</si>
  <si>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</si>
  <si>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</si>
  <si>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</si>
  <si>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</si>
  <si>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</si>
  <si>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</si>
  <si>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</si>
  <si>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</si>
  <si>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</si>
  <si>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</si>
  <si>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</si>
  <si>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</si>
  <si>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</si>
  <si>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</si>
  <si>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</si>
  <si>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</si>
  <si>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</si>
  <si>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</si>
  <si>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</si>
  <si>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</si>
  <si>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</si>
  <si>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</si>
  <si>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</si>
  <si>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</si>
  <si>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</si>
  <si>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</si>
  <si>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</si>
  <si>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</si>
  <si>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</si>
  <si>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</si>
  <si>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</si>
  <si>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</si>
  <si>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</si>
  <si>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</si>
  <si>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</si>
  <si>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</si>
  <si>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</si>
  <si>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</si>
  <si>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</si>
  <si>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</si>
  <si>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</si>
  <si>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</si>
  <si>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</si>
  <si>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</si>
  <si>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</si>
  <si>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</si>
  <si>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</si>
  <si>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</si>
  <si>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</si>
  <si>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</si>
  <si>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</si>
  <si>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</si>
  <si>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</si>
  <si>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</si>
  <si>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</si>
  <si>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</si>
  <si>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</si>
  <si>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</si>
  <si>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</si>
  <si>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</si>
  <si>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</si>
  <si>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</si>
  <si>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</si>
  <si>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</si>
  <si>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</si>
  <si>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</si>
  <si>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</si>
  <si>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</si>
  <si>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</si>
  <si>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</si>
  <si>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</si>
  <si>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</si>
  <si>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</si>
  <si>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</si>
  <si>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</si>
  <si>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</si>
  <si>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</si>
  <si>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</si>
  <si>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</si>
  <si>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</si>
  <si>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</si>
  <si>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</si>
  <si>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</si>
  <si>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</si>
  <si>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</si>
  <si>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</si>
  <si>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</si>
  <si>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</si>
  <si>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</si>
  <si>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</si>
  <si>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</si>
  <si>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</si>
  <si>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</si>
  <si>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</si>
  <si>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</si>
  <si>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</si>
  <si>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</si>
  <si>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</si>
  <si>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</si>
  <si>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</si>
  <si>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</si>
  <si>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</si>
  <si>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</si>
  <si>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</si>
  <si>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</si>
  <si>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</si>
  <si>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</si>
  <si>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</si>
  <si>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</si>
  <si>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</si>
  <si>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</si>
  <si>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</si>
  <si>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</si>
  <si>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</si>
  <si>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</si>
  <si>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</si>
  <si>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</si>
  <si>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</si>
  <si>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</si>
  <si>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</si>
  <si>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</si>
  <si>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</si>
  <si>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</si>
  <si>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</si>
  <si>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</si>
  <si>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</si>
  <si>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</si>
  <si>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</si>
  <si>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</si>
  <si>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</si>
  <si>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</si>
  <si>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</si>
  <si>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</si>
  <si>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</si>
  <si>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</si>
  <si>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</si>
  <si>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</si>
  <si>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</si>
  <si>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</si>
  <si>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</si>
  <si>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</si>
  <si>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</si>
  <si>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</si>
  <si>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</si>
  <si>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</si>
  <si>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</si>
  <si>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</si>
  <si>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</si>
  <si>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</si>
  <si>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</si>
  <si>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</si>
  <si>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</si>
  <si>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</si>
  <si>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</si>
  <si>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</si>
  <si>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</si>
  <si>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</si>
  <si>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</si>
  <si>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</si>
  <si>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</si>
  <si>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</si>
  <si>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</si>
  <si>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</si>
  <si>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</si>
  <si>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</si>
  <si>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</si>
  <si>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</si>
  <si>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</si>
  <si>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</si>
  <si>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</si>
  <si>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</si>
  <si>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</si>
  <si>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</si>
  <si>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</si>
  <si>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</si>
  <si>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</si>
  <si>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</si>
  <si>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</si>
  <si>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</si>
  <si>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</si>
  <si>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</si>
  <si>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</si>
  <si>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</si>
  <si>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</si>
  <si>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</si>
  <si>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</si>
  <si>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</si>
  <si>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</si>
  <si>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</si>
  <si>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</si>
  <si>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</si>
  <si>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</si>
  <si>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</si>
  <si>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</si>
  <si>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</si>
  <si>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</si>
  <si>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</si>
  <si>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</si>
  <si>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</si>
  <si>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</si>
  <si>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</si>
  <si>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</si>
  <si>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</si>
  <si>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</si>
  <si>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</si>
  <si>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</si>
  <si>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</si>
  <si>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</si>
  <si>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</si>
  <si>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</si>
  <si>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</si>
  <si>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</si>
  <si>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</si>
  <si>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</si>
  <si>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</si>
  <si>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</si>
  <si>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</si>
  <si>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</si>
  <si>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</si>
  <si>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</si>
  <si>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</si>
  <si>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</si>
  <si>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</si>
  <si>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</si>
  <si>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</si>
  <si>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</si>
  <si>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</si>
  <si>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</si>
  <si>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</si>
  <si>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</si>
  <si>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</si>
  <si>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</si>
  <si>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</si>
  <si>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</si>
  <si>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</si>
  <si>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</si>
  <si>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</si>
  <si>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</si>
  <si>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</si>
  <si>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</si>
  <si>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</si>
  <si>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</si>
  <si>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</si>
  <si>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</si>
  <si>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</si>
  <si>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</si>
  <si>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</si>
  <si>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</si>
  <si>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</si>
  <si>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</si>
  <si>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</si>
  <si>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</si>
  <si>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</si>
  <si>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</si>
  <si>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</si>
  <si>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</si>
  <si>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</si>
  <si>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</si>
  <si>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</si>
  <si>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</si>
  <si>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</si>
  <si>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</si>
  <si>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</si>
  <si>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</si>
  <si>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</si>
  <si>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</si>
  <si>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</si>
  <si>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</si>
  <si>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</si>
  <si>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</si>
  <si>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</si>
  <si>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</si>
  <si>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</si>
  <si>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</si>
  <si>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</si>
  <si>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</si>
  <si>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</si>
  <si>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</si>
  <si>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</si>
  <si>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</si>
  <si>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</si>
  <si>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</si>
  <si>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</si>
  <si>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</si>
  <si>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</si>
  <si>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</si>
  <si>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</si>
  <si>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</si>
  <si>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</si>
  <si>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</si>
  <si>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</si>
  <si>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</si>
  <si>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</si>
  <si>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</si>
  <si>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</si>
  <si>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</si>
  <si>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</si>
  <si>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</si>
  <si>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</si>
  <si>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</si>
  <si>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</si>
  <si>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</si>
  <si>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</si>
  <si>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</si>
  <si>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</si>
  <si>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</si>
  <si>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</si>
  <si>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</si>
  <si>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</si>
  <si>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</si>
  <si>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</si>
  <si>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</si>
  <si>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</si>
  <si>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</si>
  <si>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</si>
  <si>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</si>
  <si>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</si>
  <si>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</si>
  <si>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</si>
  <si>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</si>
  <si>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</si>
  <si>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</si>
  <si>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</si>
  <si>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</si>
  <si>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</si>
  <si>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</si>
  <si>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</si>
  <si>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</si>
  <si>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</si>
  <si>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</si>
  <si>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</si>
  <si>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</si>
  <si>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</si>
  <si>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</si>
  <si>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</si>
  <si>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</si>
  <si>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</si>
  <si>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</si>
  <si>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</si>
  <si>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</si>
  <si>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</si>
  <si>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</si>
  <si>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</si>
  <si>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</si>
  <si>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</si>
  <si>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</si>
  <si>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</si>
  <si>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</si>
  <si>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</si>
  <si>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</si>
  <si>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</si>
  <si>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</si>
  <si>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</si>
  <si>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</si>
  <si>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</si>
  <si>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</si>
  <si>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</si>
  <si>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</si>
  <si>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</si>
  <si>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</si>
  <si>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</si>
  <si>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</si>
  <si>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</si>
  <si>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</si>
  <si>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</si>
  <si>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</si>
  <si>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</si>
  <si>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</si>
  <si>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</si>
  <si>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</si>
  <si>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</si>
  <si>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</si>
  <si>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</si>
  <si>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</si>
  <si>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</si>
  <si>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</si>
  <si>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</si>
  <si>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</si>
  <si>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</si>
  <si>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</si>
  <si>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</si>
  <si>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</si>
  <si>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</si>
  <si>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</si>
  <si>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</si>
  <si>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</si>
  <si>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</si>
  <si>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</si>
  <si>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</si>
  <si>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</si>
  <si>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</si>
  <si>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</si>
  <si>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</si>
  <si>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</si>
  <si>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</si>
  <si>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</si>
  <si>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</si>
  <si>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</si>
  <si>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</si>
  <si>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</si>
  <si>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</si>
  <si>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</si>
  <si>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</si>
  <si>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</si>
  <si>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</si>
  <si>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</si>
  <si>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</si>
  <si>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</si>
  <si>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</si>
  <si>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</si>
  <si>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</si>
  <si>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</si>
  <si>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</si>
  <si>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</si>
  <si>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</si>
  <si>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</si>
  <si>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</si>
  <si>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</si>
  <si>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</si>
  <si>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</si>
  <si>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</si>
  <si>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</si>
  <si>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</si>
  <si>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</si>
  <si>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</si>
  <si>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</si>
  <si>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</si>
  <si>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</si>
  <si>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</si>
  <si>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</si>
  <si>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</si>
  <si>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</si>
  <si>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</si>
  <si>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</si>
  <si>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</si>
  <si>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</si>
  <si>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</si>
  <si>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</si>
  <si>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</si>
  <si>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</si>
  <si>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</si>
  <si>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</si>
  <si>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</si>
  <si>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</si>
  <si>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</si>
  <si>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</si>
  <si>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</si>
  <si>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</si>
  <si>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</si>
  <si>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</si>
  <si>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</si>
  <si>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</si>
  <si>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</si>
  <si>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</si>
  <si>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</si>
  <si>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</si>
  <si>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</si>
  <si>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</si>
  <si>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</si>
  <si>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</si>
  <si>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</si>
  <si>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</si>
  <si>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</si>
  <si>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</si>
  <si>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</si>
  <si>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</si>
  <si>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</si>
  <si>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</si>
  <si>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</si>
  <si>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</si>
  <si>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</si>
  <si>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</si>
  <si>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</si>
  <si>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</si>
  <si>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</si>
  <si>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</si>
  <si>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</si>
  <si>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</si>
  <si>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</si>
  <si>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</si>
  <si>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</si>
  <si>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</si>
  <si>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</si>
  <si>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</si>
  <si>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</si>
  <si>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</si>
  <si>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</si>
  <si>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</si>
  <si>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</si>
  <si>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</si>
  <si>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</si>
  <si>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</si>
  <si>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</si>
  <si>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</si>
  <si>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</si>
  <si>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</si>
  <si>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</si>
  <si>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</si>
  <si>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</si>
  <si>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</si>
  <si>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</si>
  <si>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</si>
  <si>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</si>
  <si>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</si>
  <si>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</si>
  <si>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</si>
  <si>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</si>
  <si>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</si>
  <si>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</si>
  <si>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</si>
  <si>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</si>
  <si>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</si>
  <si>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</si>
  <si>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</si>
  <si>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</si>
  <si>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</si>
  <si>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</si>
  <si>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</si>
  <si>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</si>
  <si>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</si>
  <si>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</si>
  <si>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</si>
  <si>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</si>
  <si>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</si>
  <si>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</si>
  <si>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</si>
  <si>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</si>
  <si>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</si>
  <si>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</si>
  <si>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</si>
  <si>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</si>
  <si>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</si>
  <si>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</si>
  <si>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</si>
  <si>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</si>
  <si>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</si>
  <si>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</si>
  <si>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</si>
  <si>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</si>
  <si>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</si>
  <si>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</si>
  <si>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</si>
  <si>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</si>
  <si>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</si>
  <si>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</si>
  <si>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</si>
  <si>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</si>
  <si>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</si>
  <si>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</si>
  <si>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</si>
  <si>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</si>
  <si>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</si>
  <si>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</si>
  <si>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</si>
  <si>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</si>
  <si>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</si>
  <si>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</si>
  <si>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</si>
  <si>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</si>
  <si>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</si>
  <si>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</si>
  <si>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</si>
  <si>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</si>
  <si>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</si>
  <si>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</si>
  <si>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</si>
  <si>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</si>
  <si>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</si>
  <si>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</si>
  <si>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</si>
  <si>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</si>
  <si>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</si>
  <si>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</si>
  <si>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</si>
  <si>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</si>
  <si>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</si>
  <si>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</si>
  <si>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</si>
  <si>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</si>
  <si>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</si>
  <si>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</si>
  <si>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</si>
  <si>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</si>
  <si>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</si>
  <si>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</si>
  <si>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</si>
  <si>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</si>
  <si>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</si>
  <si>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</si>
  <si>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</si>
  <si>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</si>
  <si>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</si>
  <si>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</si>
  <si>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</si>
  <si>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</si>
  <si>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</si>
  <si>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</si>
  <si>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</si>
  <si>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</si>
  <si>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</si>
  <si>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</si>
  <si>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</si>
  <si>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</si>
  <si>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</si>
  <si>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</si>
  <si>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</si>
  <si>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</si>
  <si>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</si>
  <si>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</si>
  <si>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</si>
  <si>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</si>
  <si>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</si>
  <si>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</si>
  <si>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</si>
  <si>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</si>
  <si>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</si>
  <si>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</si>
  <si>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</si>
  <si>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</si>
  <si>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</si>
  <si>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</si>
  <si>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</si>
  <si>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</si>
  <si>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</si>
  <si>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</si>
  <si>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</si>
  <si>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</si>
  <si>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</si>
  <si>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</si>
  <si>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</si>
  <si>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</si>
  <si>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</si>
  <si>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</si>
  <si>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</si>
  <si>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</si>
  <si>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</si>
  <si>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</si>
  <si>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</si>
  <si>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</si>
  <si>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</si>
  <si>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</si>
  <si>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</si>
  <si>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</si>
  <si>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</si>
  <si>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</si>
  <si>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</si>
  <si>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</si>
  <si>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</si>
  <si>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</si>
  <si>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</si>
  <si>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</si>
  <si>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</si>
  <si>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</si>
  <si>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</si>
  <si>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</si>
  <si>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</si>
  <si>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</si>
  <si>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</si>
  <si>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</si>
  <si>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</si>
  <si>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</si>
  <si>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</si>
  <si>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</si>
  <si>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</si>
  <si>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</si>
  <si>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</si>
  <si>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</si>
  <si>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</si>
  <si>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</si>
  <si>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</si>
  <si>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</si>
  <si>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</si>
  <si>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</si>
  <si>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</si>
  <si>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</si>
  <si>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</si>
  <si>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</si>
  <si>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</si>
  <si>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</si>
  <si>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</si>
  <si>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</si>
  <si>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</si>
  <si>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</si>
  <si>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</si>
  <si>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</si>
  <si>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</si>
  <si>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</si>
  <si>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</si>
  <si>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</si>
  <si>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</si>
  <si>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</si>
  <si>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</si>
  <si>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</si>
  <si>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</si>
  <si>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</si>
  <si>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</si>
  <si>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</si>
  <si>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</si>
  <si>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</si>
  <si>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</si>
  <si>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</si>
  <si>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</si>
  <si>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</si>
  <si>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</si>
  <si>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</si>
  <si>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</si>
  <si>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</si>
  <si>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</si>
  <si>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</si>
  <si>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</si>
  <si>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</si>
  <si>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</si>
  <si>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</si>
  <si>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</si>
  <si>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</si>
  <si>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</si>
  <si>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</si>
  <si>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</si>
  <si>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</si>
  <si>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</si>
  <si>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</si>
  <si>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</si>
  <si>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</si>
  <si>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</si>
  <si>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</si>
  <si>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</si>
  <si>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</si>
  <si>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</si>
  <si>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</si>
  <si>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</si>
  <si>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</si>
  <si>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</si>
  <si>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</si>
  <si>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</si>
  <si>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</si>
  <si>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</si>
  <si>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</si>
  <si>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</si>
  <si>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</si>
  <si>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</si>
  <si>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</si>
  <si>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</si>
  <si>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</si>
  <si>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</si>
  <si>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</si>
  <si>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</si>
  <si>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</si>
  <si>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</si>
  <si>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</si>
  <si>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</si>
  <si>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</si>
  <si>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</si>
  <si>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</si>
  <si>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</si>
  <si>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</si>
  <si>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</si>
  <si>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</si>
  <si>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</si>
  <si>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</si>
  <si>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</si>
  <si>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</si>
  <si>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</si>
  <si>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</si>
  <si>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</si>
  <si>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</si>
  <si>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</si>
  <si>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</si>
  <si>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</si>
  <si>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</si>
  <si>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</si>
  <si>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</si>
  <si>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</si>
  <si>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</si>
  <si>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</si>
  <si>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</si>
  <si>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</si>
  <si>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</si>
  <si>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</si>
  <si>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</si>
  <si>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</si>
  <si>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</si>
  <si>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</si>
  <si>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</si>
  <si>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</si>
  <si>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</si>
  <si>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</si>
  <si>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</si>
  <si>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</si>
  <si>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</si>
  <si>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</si>
  <si>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</si>
  <si>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</si>
  <si>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</si>
  <si>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</si>
  <si>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</si>
  <si>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</si>
  <si>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</si>
  <si>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</si>
  <si>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</si>
  <si>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</si>
  <si>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</si>
  <si>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</si>
  <si>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</si>
  <si>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</si>
  <si>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</si>
  <si>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</si>
  <si>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</si>
  <si>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</si>
  <si>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</si>
  <si>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</si>
  <si>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</si>
  <si>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</si>
  <si>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</si>
  <si>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</si>
  <si>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</si>
  <si>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</si>
  <si>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</si>
  <si>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</si>
  <si>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</si>
  <si>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</si>
  <si>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</si>
  <si>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</si>
  <si>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</si>
  <si>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</si>
  <si>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</si>
  <si>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</si>
  <si>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</si>
  <si>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</si>
  <si>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</si>
  <si>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</si>
  <si>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</si>
  <si>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</si>
  <si>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</si>
  <si>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</si>
  <si>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</si>
  <si>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</si>
  <si>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</si>
  <si>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</si>
  <si>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</si>
  <si>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</si>
  <si>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</si>
  <si>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</si>
  <si>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</si>
  <si>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</si>
  <si>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</si>
  <si>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</si>
  <si>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</si>
  <si>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</si>
  <si>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</si>
  <si>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</si>
  <si>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</si>
  <si>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</si>
  <si>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</si>
  <si>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</si>
  <si>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</si>
  <si>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</si>
  <si>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</si>
  <si>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</si>
  <si>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</si>
  <si>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</si>
  <si>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</si>
  <si>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</si>
  <si>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</si>
  <si>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</si>
  <si>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</si>
  <si>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</si>
  <si>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</si>
  <si>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</si>
  <si>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</si>
  <si>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</si>
  <si>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</si>
  <si>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</si>
  <si>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</si>
  <si>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</si>
  <si>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</si>
  <si>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</si>
  <si>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</si>
  <si>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</si>
  <si>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</si>
  <si>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</si>
  <si>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</si>
  <si>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</si>
  <si>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</si>
  <si>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</si>
  <si>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</si>
  <si>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</si>
  <si>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</si>
  <si>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</si>
  <si>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</si>
  <si>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</si>
  <si>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</si>
  <si>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</si>
  <si>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</si>
  <si>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</si>
  <si>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</si>
  <si>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</si>
  <si>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</si>
  <si>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</si>
  <si>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</si>
  <si>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</si>
  <si>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</si>
  <si>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</si>
  <si>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</si>
  <si>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</si>
  <si>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</si>
  <si>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</si>
  <si>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</si>
  <si>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</si>
  <si>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</si>
  <si>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</si>
  <si>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</si>
  <si>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</si>
  <si>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</si>
  <si>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</si>
  <si>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</si>
  <si>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</si>
  <si>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</si>
  <si>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</si>
  <si>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</si>
  <si>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</si>
  <si>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</si>
  <si>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</si>
  <si>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</si>
  <si>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</si>
  <si>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</si>
  <si>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</si>
  <si>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</si>
  <si>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</si>
  <si>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</si>
  <si>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</si>
  <si>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</si>
  <si>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</si>
  <si>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</si>
  <si>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</si>
  <si>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</si>
  <si>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</si>
  <si>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</si>
  <si>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</si>
  <si>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</si>
  <si>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</si>
  <si>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</si>
  <si>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</si>
  <si>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</si>
  <si>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</si>
  <si>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</si>
  <si>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</si>
  <si>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</si>
  <si>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</si>
  <si>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</si>
  <si>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</si>
  <si>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</si>
  <si>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</si>
  <si>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</si>
  <si>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</si>
  <si>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</si>
  <si>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</si>
  <si>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</si>
  <si>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</si>
  <si>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</si>
  <si>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</si>
  <si>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</si>
  <si>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</si>
  <si>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</si>
  <si>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</si>
  <si>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</si>
  <si>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</si>
  <si>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</si>
  <si>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</si>
  <si>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</si>
  <si>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</si>
  <si>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</si>
  <si>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</si>
  <si>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</si>
  <si>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</si>
  <si>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</si>
  <si>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</si>
  <si>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</si>
  <si>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</si>
  <si>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</si>
  <si>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</si>
  <si>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</si>
  <si>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</si>
  <si>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</si>
  <si>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</si>
  <si>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</si>
  <si>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</si>
  <si>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</si>
  <si>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</si>
  <si>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</si>
  <si>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</si>
  <si>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</si>
  <si>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</si>
  <si>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</si>
  <si>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</si>
  <si>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</si>
  <si>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</si>
  <si>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</si>
  <si>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</si>
  <si>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</si>
  <si>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</si>
  <si>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</si>
  <si>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</si>
  <si>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</si>
  <si>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</si>
  <si>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</si>
  <si>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</si>
  <si>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</si>
  <si>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</si>
  <si>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</si>
  <si>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</si>
  <si>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</si>
  <si>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</si>
  <si>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</si>
  <si>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</si>
  <si>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</si>
  <si>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</si>
  <si>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</si>
  <si>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</si>
  <si>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</si>
  <si>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</si>
  <si>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</si>
  <si>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</si>
  <si>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</si>
  <si>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</si>
  <si>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</si>
  <si>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</si>
  <si>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</si>
  <si>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</si>
  <si>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</si>
  <si>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</si>
  <si>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</si>
  <si>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</si>
  <si>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</si>
  <si>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</si>
  <si>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</si>
  <si>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</si>
  <si>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</si>
  <si>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</si>
  <si>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</si>
  <si>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</si>
  <si>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</si>
  <si>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</si>
  <si>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</si>
  <si>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</si>
  <si>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</si>
  <si>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</si>
  <si>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</si>
  <si>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</si>
  <si>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</si>
  <si>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</si>
  <si>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</si>
  <si>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</si>
  <si>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</si>
  <si>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</si>
  <si>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</si>
  <si>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</si>
  <si>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</si>
  <si>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</si>
  <si>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</si>
  <si>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</si>
  <si>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</si>
  <si>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</si>
  <si>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</si>
  <si>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</si>
  <si>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</si>
  <si>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</si>
  <si>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</si>
  <si>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</si>
  <si>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</si>
  <si>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</si>
  <si>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</si>
  <si>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</si>
  <si>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</si>
  <si>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</si>
  <si>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</si>
  <si>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</si>
  <si>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</si>
  <si>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</si>
  <si>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</si>
  <si>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</si>
  <si>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</si>
  <si>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</si>
  <si>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</si>
  <si>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</si>
  <si>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</si>
  <si>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</si>
  <si>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</si>
  <si>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</si>
  <si>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</si>
  <si>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</si>
  <si>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</si>
  <si>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</si>
  <si>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</si>
  <si>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</si>
  <si>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</si>
  <si>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</si>
  <si>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</si>
  <si>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</si>
  <si>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</si>
  <si>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</si>
  <si>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</si>
  <si>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</si>
  <si>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</si>
  <si>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</si>
  <si>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</si>
  <si>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</si>
  <si>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</si>
  <si>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</si>
  <si>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</si>
  <si>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</si>
  <si>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</si>
  <si>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</si>
  <si>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</si>
  <si>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</si>
  <si>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</si>
  <si>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</si>
  <si>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</si>
  <si>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</si>
  <si>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</si>
  <si>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</si>
  <si>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</si>
  <si>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</si>
  <si>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</si>
  <si>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</si>
  <si>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</si>
  <si>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</si>
  <si>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</si>
  <si>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</si>
  <si>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</si>
  <si>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</si>
  <si>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</si>
  <si>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</si>
  <si>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</si>
  <si>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</si>
  <si>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</si>
  <si>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</si>
  <si>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</si>
  <si>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</si>
  <si>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</si>
  <si>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</si>
  <si>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</si>
  <si>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</si>
  <si>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</si>
  <si>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</si>
  <si>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</si>
  <si>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</si>
  <si>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</si>
  <si>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</si>
  <si>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</si>
  <si>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</si>
  <si>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</si>
  <si>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</si>
  <si>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</si>
  <si>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</si>
  <si>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</si>
  <si>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</si>
  <si>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</si>
  <si>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</si>
  <si>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</si>
  <si>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</si>
  <si>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</si>
  <si>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</si>
  <si>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</si>
  <si>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</si>
  <si>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</si>
  <si>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</si>
  <si>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</si>
  <si>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</si>
  <si>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</si>
  <si>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</si>
  <si>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</si>
  <si>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</si>
  <si>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</si>
  <si>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</si>
  <si>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</si>
  <si>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</si>
  <si>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</si>
  <si>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</si>
  <si>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</si>
  <si>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</si>
  <si>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</si>
  <si>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</si>
  <si>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</si>
  <si>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</si>
  <si>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</si>
  <si>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</si>
  <si>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</si>
  <si>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</si>
  <si>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</si>
  <si>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</si>
  <si>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</si>
  <si>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</si>
  <si>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</si>
  <si>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</si>
  <si>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</si>
  <si>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</si>
  <si>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</si>
  <si>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</si>
  <si>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</si>
  <si>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</si>
  <si>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</si>
  <si>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</si>
  <si>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</si>
  <si>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</si>
  <si>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</si>
  <si>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</si>
  <si>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</si>
  <si>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</si>
  <si>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</si>
  <si>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</si>
  <si>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</si>
  <si>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</si>
  <si>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</si>
  <si>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</si>
  <si>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</si>
  <si>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</si>
  <si>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</si>
  <si>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</si>
  <si>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</si>
  <si>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</si>
  <si>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</si>
  <si>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</si>
  <si>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</si>
  <si>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</si>
  <si>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</si>
  <si>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</si>
  <si>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</si>
  <si>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</si>
  <si>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</si>
  <si>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</si>
  <si>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</si>
  <si>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</si>
  <si>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</si>
  <si>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</si>
  <si>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</si>
  <si>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</si>
  <si>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</si>
  <si>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</si>
  <si>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</si>
  <si>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</si>
  <si>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</si>
  <si>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</si>
  <si>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</si>
  <si>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</si>
  <si>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</si>
  <si>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</si>
  <si>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</si>
  <si>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</si>
  <si>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</si>
  <si>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</si>
  <si>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</si>
  <si>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</si>
  <si>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</si>
  <si>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</si>
  <si>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</si>
  <si>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</si>
  <si>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</si>
  <si>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</si>
  <si>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</si>
  <si>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</si>
  <si>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</si>
  <si>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</si>
  <si>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</si>
  <si>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</si>
  <si>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</si>
  <si>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</si>
  <si>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</si>
  <si>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</si>
  <si>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</si>
  <si>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</si>
  <si>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</si>
  <si>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</si>
  <si>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</si>
  <si>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</si>
  <si>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</si>
  <si>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</si>
  <si>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</si>
  <si>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</si>
  <si>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</si>
  <si>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</si>
  <si>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</si>
  <si>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</si>
  <si>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</si>
  <si>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</si>
  <si>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</si>
  <si>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</si>
  <si>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</si>
  <si>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</si>
  <si>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</si>
  <si>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</si>
  <si>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</si>
  <si>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</si>
  <si>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</si>
  <si>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</si>
  <si>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</si>
  <si>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</si>
  <si>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</si>
  <si>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</si>
  <si>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</si>
  <si>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</si>
  <si>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</si>
  <si>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</si>
  <si>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</si>
  <si>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</si>
  <si>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</si>
  <si>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</si>
  <si>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</si>
  <si>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</si>
  <si>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</si>
  <si>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</si>
  <si>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</si>
  <si>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</si>
  <si>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</si>
  <si>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</si>
  <si>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</si>
  <si>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</si>
  <si>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</si>
  <si>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</si>
  <si>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</si>
  <si>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</si>
  <si>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</si>
  <si>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</si>
  <si>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</si>
  <si>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</si>
  <si>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</si>
  <si>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</si>
  <si>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</si>
  <si>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</si>
  <si>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</si>
  <si>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</si>
  <si>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</si>
  <si>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</si>
  <si>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</si>
  <si>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</si>
  <si>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</si>
  <si>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</si>
  <si>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</si>
  <si>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</si>
  <si>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</si>
  <si>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</si>
  <si>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</si>
  <si>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</si>
  <si>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</si>
  <si>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</si>
  <si>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</si>
  <si>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</si>
  <si>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</si>
  <si>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</si>
  <si>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</si>
  <si>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</si>
  <si>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</si>
  <si>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</si>
  <si>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</si>
  <si>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</si>
  <si>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</si>
  <si>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</si>
  <si>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</si>
  <si>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</si>
  <si>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</si>
  <si>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</si>
  <si>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</si>
  <si>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</si>
  <si>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</si>
  <si>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</si>
  <si>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</si>
  <si>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</si>
  <si>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</si>
  <si>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</si>
  <si>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</si>
  <si>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</si>
  <si>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</si>
  <si>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</si>
  <si>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</si>
  <si>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</si>
  <si>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</si>
  <si>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</si>
  <si>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</si>
  <si>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</si>
  <si>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</si>
  <si>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</si>
  <si>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</si>
  <si>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</si>
  <si>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</si>
  <si>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</si>
  <si>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</si>
  <si>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</si>
  <si>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</si>
  <si>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</si>
  <si>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</si>
  <si>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</si>
  <si>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</si>
  <si>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</si>
  <si>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</si>
  <si>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</si>
  <si>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</si>
  <si>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</si>
  <si>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</si>
  <si>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</si>
  <si>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</si>
  <si>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</si>
  <si>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</si>
  <si>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</si>
  <si>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</si>
  <si>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</si>
  <si>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</si>
  <si>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</si>
  <si>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</si>
  <si>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</si>
  <si>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</si>
  <si>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</si>
  <si>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</si>
  <si>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</si>
  <si>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</si>
  <si>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</si>
  <si>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</si>
  <si>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</si>
  <si>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</si>
  <si>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</si>
  <si>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</si>
  <si>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</si>
  <si>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</si>
  <si>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</si>
  <si>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</si>
  <si>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</si>
  <si>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</si>
  <si>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</si>
  <si>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</si>
  <si>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</si>
  <si>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</si>
  <si>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</si>
  <si>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</si>
  <si>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</si>
  <si>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</si>
  <si>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</si>
  <si>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</si>
  <si>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</si>
  <si>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</si>
  <si>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</si>
  <si>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</si>
  <si>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</si>
  <si>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</si>
  <si>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</si>
  <si>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</si>
  <si>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</si>
  <si>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</si>
  <si>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</si>
  <si>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</si>
  <si>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</si>
  <si>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</si>
  <si>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</si>
  <si>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</si>
  <si>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</si>
  <si>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</si>
  <si>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</si>
  <si>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</si>
  <si>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</si>
  <si>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</si>
  <si>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</si>
  <si>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</si>
  <si>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</si>
  <si>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</si>
  <si>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</si>
  <si>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</si>
  <si>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</si>
  <si>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</si>
  <si>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</si>
  <si>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</si>
  <si>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</si>
  <si>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</si>
  <si>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</si>
  <si>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</si>
  <si>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</si>
  <si>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</si>
  <si>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</si>
  <si>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</si>
  <si>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</si>
  <si>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</si>
  <si>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</si>
  <si>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</si>
  <si>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</si>
  <si>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</si>
  <si>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</si>
  <si>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</si>
  <si>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</si>
  <si>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</si>
  <si>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</si>
  <si>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</si>
  <si>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</si>
  <si>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</si>
  <si>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</si>
  <si>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</si>
  <si>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</si>
  <si>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</si>
  <si>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</si>
  <si>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</si>
  <si>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</si>
  <si>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</si>
  <si>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</si>
  <si>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</si>
  <si>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</si>
  <si>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</si>
  <si>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</si>
  <si>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</si>
  <si>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</si>
  <si>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</si>
  <si>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</si>
  <si>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</si>
  <si>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</si>
  <si>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</si>
  <si>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</si>
  <si>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</si>
  <si>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</si>
  <si>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</si>
  <si>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</si>
  <si>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</si>
  <si>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</si>
  <si>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</si>
  <si>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</si>
  <si>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</si>
  <si>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</si>
  <si>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</si>
  <si>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</si>
  <si>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</si>
  <si>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</si>
  <si>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</si>
  <si>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</si>
  <si>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</si>
  <si>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</si>
  <si>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</si>
  <si>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</si>
  <si>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</si>
  <si>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</si>
  <si>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</si>
  <si>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</si>
  <si>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</si>
  <si>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</si>
  <si>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</si>
  <si>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</si>
  <si>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</si>
  <si>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</si>
  <si>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</si>
  <si>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</si>
  <si>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</si>
  <si>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</si>
  <si>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</si>
  <si>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</si>
  <si>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</si>
  <si>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</si>
  <si>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</si>
  <si>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</si>
  <si>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</si>
  <si>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</si>
  <si>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</si>
  <si>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</si>
  <si>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</si>
  <si>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</si>
  <si>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</si>
  <si>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</si>
  <si>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</si>
  <si>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</si>
  <si>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</si>
  <si>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</si>
  <si>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</si>
  <si>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</si>
  <si>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</si>
  <si>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</si>
  <si>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</si>
  <si>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</si>
  <si>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</si>
  <si>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</si>
  <si>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</si>
  <si>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</si>
  <si>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</si>
  <si>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</si>
  <si>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</si>
  <si>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</si>
  <si>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</si>
  <si>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</si>
  <si>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</si>
  <si>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</si>
  <si>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</si>
  <si>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</si>
  <si>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</si>
  <si>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</si>
  <si>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</si>
  <si>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</si>
  <si>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</si>
  <si>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</si>
  <si>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</si>
  <si>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</si>
  <si>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</si>
  <si>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</si>
  <si>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</si>
  <si>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</si>
  <si>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</si>
  <si>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</si>
  <si>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</si>
  <si>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</si>
  <si>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</si>
  <si>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</si>
  <si>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</si>
  <si>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</si>
  <si>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</si>
  <si>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</si>
  <si>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</si>
  <si>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</si>
  <si>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</si>
  <si>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</si>
  <si>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</si>
  <si>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</si>
  <si>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</si>
  <si>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</si>
  <si>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</si>
  <si>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</si>
  <si>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</si>
  <si>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</si>
  <si>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</si>
  <si>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</si>
  <si>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</si>
  <si>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</si>
  <si>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</si>
  <si>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</si>
  <si>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</si>
  <si>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</si>
  <si>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</si>
  <si>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</si>
  <si>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</si>
  <si>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</si>
  <si>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</si>
  <si>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</si>
  <si>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</si>
  <si>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</si>
  <si>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</si>
  <si>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</si>
  <si>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</si>
  <si>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</si>
  <si>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</si>
  <si>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</si>
  <si>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</si>
  <si>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</si>
  <si>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</si>
  <si>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</si>
  <si>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</si>
  <si>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</si>
  <si>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</si>
  <si>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</si>
  <si>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</si>
  <si>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</si>
  <si>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</si>
  <si>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</si>
  <si>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</si>
  <si>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</si>
  <si>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</si>
  <si>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</si>
  <si>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</si>
  <si>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</si>
  <si>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</si>
  <si>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</si>
  <si>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</si>
  <si>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</si>
  <si>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</si>
  <si>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</si>
  <si>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</si>
  <si>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</si>
  <si>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</si>
  <si>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</si>
  <si>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</si>
  <si>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</si>
  <si>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</si>
  <si>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</si>
  <si>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</si>
  <si>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</si>
  <si>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</si>
  <si>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</si>
  <si>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</si>
  <si>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</si>
  <si>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</si>
  <si>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</si>
  <si>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</si>
  <si>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</si>
  <si>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</si>
  <si>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</si>
  <si>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</si>
  <si>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</si>
  <si>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</si>
  <si>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</si>
  <si>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</si>
  <si>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</si>
  <si>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</si>
  <si>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</si>
  <si>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</si>
  <si>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</si>
  <si>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</si>
  <si>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</si>
  <si>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</si>
  <si>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</si>
  <si>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</si>
  <si>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</si>
  <si>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</si>
  <si>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</si>
  <si>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</si>
  <si>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</si>
  <si>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</si>
  <si>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</si>
  <si>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</si>
  <si>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</si>
  <si>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</si>
  <si>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</si>
  <si>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</si>
  <si>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</si>
  <si>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</si>
  <si>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</si>
  <si>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</si>
  <si>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</si>
  <si>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</si>
  <si>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</si>
  <si>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</si>
  <si>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</si>
  <si>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</si>
  <si>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</si>
  <si>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</si>
  <si>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</si>
  <si>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</si>
  <si>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</si>
  <si>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</si>
  <si>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</si>
  <si>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</si>
  <si>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</si>
  <si>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</si>
  <si>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</si>
  <si>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</si>
  <si>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</si>
  <si>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</si>
  <si>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</si>
  <si>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</si>
  <si>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</si>
  <si>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</si>
  <si>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</si>
  <si>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</si>
  <si>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</si>
  <si>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</si>
  <si>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</si>
  <si>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</si>
  <si>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</si>
  <si>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</si>
  <si>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</si>
  <si>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</si>
  <si>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</si>
  <si>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</si>
  <si>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</si>
  <si>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</si>
  <si>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</si>
  <si>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</si>
  <si>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</si>
  <si>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</si>
  <si>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</si>
  <si>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</si>
  <si>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</si>
  <si>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</si>
  <si>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</si>
  <si>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</si>
  <si>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</si>
  <si>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</si>
  <si>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</si>
  <si>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</si>
  <si>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</si>
  <si>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</si>
  <si>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</si>
  <si>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</si>
  <si>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</si>
  <si>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</si>
  <si>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</si>
  <si>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</si>
  <si>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</si>
  <si>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</si>
  <si>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</si>
  <si>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</si>
  <si>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</si>
  <si>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</si>
  <si>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</si>
  <si>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</si>
  <si>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</si>
  <si>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</si>
  <si>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</si>
  <si>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</si>
  <si>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</si>
  <si>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</si>
  <si>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</si>
  <si>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</si>
  <si>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</si>
  <si>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</si>
  <si>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</si>
  <si>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</si>
  <si>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</si>
  <si>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</si>
  <si>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</si>
  <si>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</si>
  <si>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</si>
  <si>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</si>
  <si>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</si>
  <si>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</si>
  <si>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</si>
  <si>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</si>
  <si>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</si>
  <si>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</si>
  <si>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</si>
  <si>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</si>
  <si>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</si>
  <si>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</si>
  <si>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</si>
  <si>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</si>
  <si>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</si>
  <si>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</si>
  <si>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</si>
  <si>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</si>
  <si>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</si>
  <si>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</si>
  <si>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</si>
  <si>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</si>
  <si>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</si>
  <si>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</si>
  <si>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</si>
  <si>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</si>
  <si>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</si>
  <si>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</si>
  <si>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</si>
  <si>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</si>
  <si>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</si>
  <si>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</si>
  <si>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</si>
  <si>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</si>
  <si>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</si>
  <si>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</si>
  <si>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</si>
  <si>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</si>
  <si>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</si>
  <si>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</si>
  <si>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</si>
  <si>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</si>
  <si>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</si>
  <si>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</si>
  <si>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</si>
  <si>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</si>
  <si>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</si>
  <si>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</si>
  <si>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</si>
  <si>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</si>
  <si>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</si>
  <si>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</si>
  <si>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</si>
  <si>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</si>
  <si>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</si>
  <si>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</si>
  <si>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</si>
  <si>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</si>
  <si>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</si>
  <si>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</si>
  <si>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</si>
  <si>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</si>
  <si>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</si>
  <si>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</si>
  <si>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</si>
  <si>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</si>
  <si>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</si>
  <si>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</si>
  <si>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</si>
  <si>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</si>
  <si>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</si>
  <si>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</si>
  <si>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</si>
  <si>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</si>
  <si>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</si>
  <si>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</si>
  <si>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</si>
  <si>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</si>
  <si>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</si>
  <si>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</si>
  <si>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</si>
  <si>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</si>
  <si>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</si>
  <si>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</si>
  <si>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</si>
  <si>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</si>
  <si>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</si>
  <si>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</si>
  <si>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</si>
  <si>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</si>
  <si>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</si>
  <si>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</si>
  <si>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</si>
  <si>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</si>
  <si>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</si>
  <si>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</si>
  <si>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</si>
  <si>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</si>
  <si>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</si>
  <si>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</si>
  <si>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</si>
  <si>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</si>
  <si>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</si>
  <si>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</si>
  <si>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</si>
  <si>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</si>
  <si>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</si>
  <si>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</si>
  <si>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</si>
  <si>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</si>
  <si>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</si>
  <si>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</si>
  <si>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</si>
  <si>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</si>
  <si>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</si>
  <si>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</si>
  <si>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</si>
  <si>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</si>
  <si>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</si>
  <si>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</si>
  <si>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</si>
  <si>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</si>
  <si>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</si>
  <si>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</si>
  <si>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</si>
  <si>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</si>
  <si>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</si>
  <si>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</si>
  <si>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</si>
  <si>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</si>
  <si>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</si>
  <si>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</si>
  <si>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</si>
  <si>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</si>
  <si>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</si>
  <si>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</si>
  <si>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</si>
  <si>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</si>
  <si>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</si>
  <si>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</si>
  <si>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</si>
  <si>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</si>
  <si>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</si>
  <si>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</si>
  <si>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</si>
  <si>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</si>
  <si>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</si>
  <si>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</si>
  <si>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</si>
  <si>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</si>
  <si>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</si>
  <si>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</si>
  <si>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</si>
  <si>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</si>
  <si>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</si>
  <si>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</si>
  <si>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</si>
  <si>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</si>
  <si>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</si>
  <si>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</si>
  <si>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</si>
  <si>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</si>
  <si>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</si>
  <si>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</si>
  <si>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</si>
  <si>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</si>
  <si>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</si>
  <si>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</si>
  <si>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</si>
  <si>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</si>
  <si>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</si>
  <si>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</si>
  <si>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</si>
  <si>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</si>
  <si>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</si>
  <si>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</si>
  <si>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</si>
  <si>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</si>
  <si>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</si>
  <si>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</si>
  <si>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</si>
  <si>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</si>
  <si>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</si>
  <si>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</si>
  <si>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</si>
  <si>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</si>
  <si>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</si>
  <si>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</si>
  <si>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</si>
  <si>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</si>
  <si>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</si>
  <si>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</si>
  <si>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</si>
  <si>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</si>
  <si>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</si>
  <si>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</si>
  <si>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</si>
  <si>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</si>
  <si>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</si>
  <si>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</si>
  <si>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</si>
  <si>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</si>
  <si>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</si>
  <si>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</si>
  <si>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</si>
  <si>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</si>
  <si>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</si>
  <si>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</si>
  <si>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</si>
  <si>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</si>
  <si>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</si>
  <si>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</si>
  <si>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</si>
  <si>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</si>
  <si>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</si>
  <si>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</si>
  <si>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</si>
  <si>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</si>
  <si>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</si>
  <si>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</si>
  <si>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</si>
  <si>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</si>
  <si>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</si>
  <si>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</si>
  <si>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</si>
  <si>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</si>
  <si>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</si>
  <si>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</si>
  <si>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</si>
  <si>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</si>
  <si>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</si>
  <si>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</si>
  <si>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</si>
  <si>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</si>
  <si>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</si>
  <si>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</si>
  <si>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</si>
  <si>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</si>
  <si>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</si>
  <si>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</si>
  <si>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</si>
  <si>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</si>
  <si>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</si>
  <si>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</si>
  <si>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</si>
  <si>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</si>
  <si>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</si>
  <si>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</si>
  <si>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</si>
  <si>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</si>
  <si>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</si>
  <si>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</si>
  <si>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</si>
  <si>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</si>
  <si>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</si>
  <si>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</si>
  <si>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</si>
  <si>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</si>
  <si>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</si>
  <si>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</si>
  <si>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</si>
  <si>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</si>
  <si>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</si>
  <si>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</si>
  <si>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</si>
  <si>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</si>
  <si>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</si>
  <si>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</si>
  <si>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</si>
  <si>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</si>
  <si>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</si>
  <si>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</si>
  <si>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</si>
  <si>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</si>
  <si>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</si>
  <si>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</si>
  <si>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</si>
  <si>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</si>
  <si>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</si>
  <si>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</si>
  <si>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</si>
  <si>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</si>
  <si>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</si>
  <si>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</si>
  <si>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</si>
  <si>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</si>
  <si>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</si>
  <si>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</si>
  <si>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</si>
  <si>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</si>
  <si>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</si>
  <si>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</si>
  <si>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</si>
  <si>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</si>
  <si>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</si>
  <si>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</si>
  <si>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</si>
  <si>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</si>
  <si>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</si>
  <si>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</si>
  <si>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</si>
  <si>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</si>
  <si>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</si>
  <si>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</si>
  <si>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</si>
  <si>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</si>
  <si>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</si>
  <si>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</si>
  <si>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</si>
  <si>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</si>
  <si>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</si>
  <si>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</si>
  <si>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</si>
  <si>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</si>
  <si>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</si>
  <si>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</si>
  <si>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</si>
  <si>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</si>
  <si>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</si>
  <si>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</si>
  <si>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</si>
  <si>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</si>
  <si>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</si>
  <si>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</si>
  <si>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</si>
  <si>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</si>
  <si>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</si>
  <si>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</si>
  <si>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</si>
  <si>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</si>
  <si>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</si>
  <si>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</si>
  <si>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</si>
  <si>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</si>
  <si>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</si>
  <si>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</si>
  <si>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</si>
  <si>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</si>
  <si>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</si>
  <si>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</si>
  <si>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</si>
  <si>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</si>
  <si>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</si>
  <si>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</si>
  <si>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</si>
  <si>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</si>
  <si>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</si>
  <si>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</si>
  <si>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</si>
  <si>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</si>
  <si>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</si>
  <si>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</si>
  <si>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</si>
  <si>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</si>
  <si>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</si>
  <si>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</si>
  <si>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</si>
  <si>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</si>
  <si>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</si>
  <si>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</si>
  <si>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</si>
  <si>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</si>
  <si>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</si>
  <si>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</si>
  <si>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</si>
  <si>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</si>
  <si>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</si>
  <si>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</si>
  <si>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</si>
  <si>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</si>
  <si>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</si>
  <si>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</si>
  <si>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</si>
  <si>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</si>
  <si>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</si>
  <si>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</si>
  <si>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</si>
  <si>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</si>
  <si>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</si>
  <si>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</si>
  <si>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</si>
  <si>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</si>
  <si>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</si>
  <si>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</si>
  <si>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</si>
  <si>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</si>
  <si>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</si>
  <si>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</si>
  <si>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</si>
  <si>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</si>
  <si>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</si>
  <si>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</si>
  <si>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</si>
  <si>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</si>
  <si>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</si>
  <si>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</si>
  <si>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</si>
  <si>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</si>
  <si>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</si>
  <si>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</si>
  <si>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</si>
  <si>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</si>
  <si>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</si>
  <si>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</si>
  <si>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</si>
  <si>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</si>
  <si>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</si>
  <si>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</si>
  <si>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</si>
  <si>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</si>
  <si>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</si>
  <si>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</si>
  <si>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</si>
  <si>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</si>
  <si>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</si>
  <si>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</si>
  <si>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</si>
  <si>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</si>
  <si>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</si>
  <si>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</si>
  <si>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</si>
  <si>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</si>
  <si>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</si>
  <si>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</si>
  <si>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</si>
  <si>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</si>
  <si>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</si>
  <si>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</si>
  <si>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</si>
  <si>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</si>
  <si>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</si>
  <si>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</si>
  <si>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</si>
  <si>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</si>
  <si>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</si>
  <si>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</si>
  <si>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</si>
  <si>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</si>
  <si>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</si>
  <si>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</si>
  <si>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</si>
  <si>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</si>
  <si>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</si>
  <si>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</si>
  <si>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</si>
  <si>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</si>
  <si>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</si>
  <si>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</si>
  <si>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</si>
  <si>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</si>
  <si>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</si>
  <si>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</si>
  <si>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</si>
  <si>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</si>
  <si>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</si>
  <si>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</si>
  <si>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</si>
  <si>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</si>
  <si>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</si>
  <si>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</si>
  <si>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</si>
  <si>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</si>
  <si>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</si>
  <si>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</si>
  <si>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</si>
  <si>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</si>
  <si>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</si>
  <si>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</si>
  <si>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</si>
  <si>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</si>
  <si>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</si>
  <si>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</si>
  <si>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</si>
  <si>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</si>
  <si>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</si>
  <si>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</si>
  <si>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</si>
  <si>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</si>
  <si>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</si>
  <si>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</si>
  <si>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</si>
  <si>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</si>
  <si>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</si>
  <si>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</si>
  <si>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</si>
  <si>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</si>
  <si>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</si>
  <si>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</si>
  <si>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</si>
  <si>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</si>
  <si>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</si>
  <si>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</si>
  <si>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</si>
  <si>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</si>
  <si>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</si>
  <si>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</si>
  <si>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</si>
  <si>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</si>
  <si>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</si>
  <si>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</si>
  <si>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</si>
  <si>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</si>
  <si>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</si>
  <si>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</si>
  <si>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</si>
  <si>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</si>
  <si>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</si>
  <si>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</si>
  <si>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</si>
  <si>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</si>
  <si>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</si>
  <si>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</si>
  <si>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</si>
  <si>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</si>
  <si>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</si>
  <si>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</si>
  <si>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</si>
  <si>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</si>
  <si>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</si>
  <si>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</si>
  <si>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</si>
  <si>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</si>
  <si>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</si>
  <si>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</si>
  <si>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</si>
  <si>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</si>
  <si>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</si>
  <si>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</si>
  <si>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</si>
  <si>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</si>
  <si>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</si>
  <si>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</si>
  <si>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</si>
  <si>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</si>
  <si>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</si>
  <si>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</si>
  <si>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</si>
  <si>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</si>
  <si>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</si>
  <si>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</si>
  <si>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</si>
  <si>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</si>
  <si>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</si>
  <si>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</si>
  <si>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</si>
  <si>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</si>
  <si>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</si>
  <si>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</si>
  <si>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</si>
  <si>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</si>
  <si>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</si>
  <si>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</si>
  <si>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</si>
  <si>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</si>
  <si>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</si>
  <si>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</si>
  <si>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</si>
  <si>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</si>
  <si>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</si>
  <si>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</si>
  <si>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</si>
  <si>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</si>
  <si>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</si>
  <si>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</si>
  <si>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</si>
  <si>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</si>
  <si>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</si>
  <si>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</si>
  <si>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</si>
  <si>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</si>
  <si>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</si>
  <si>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</si>
  <si>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</si>
  <si>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</si>
  <si>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</si>
  <si>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</si>
  <si>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</si>
  <si>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</si>
  <si>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</si>
  <si>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</si>
  <si>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</si>
  <si>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</si>
  <si>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</si>
  <si>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</si>
  <si>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</si>
  <si>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</si>
  <si>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</si>
  <si>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</si>
  <si>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</si>
  <si>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</si>
  <si>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</si>
  <si>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</si>
  <si>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</si>
  <si>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</si>
  <si>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</si>
  <si>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</si>
  <si>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</si>
  <si>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</si>
  <si>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</si>
  <si>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</si>
  <si>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</si>
  <si>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</si>
  <si>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</si>
  <si>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</si>
  <si>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</si>
  <si>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</si>
  <si>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</si>
  <si>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</si>
  <si>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</si>
  <si>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</si>
  <si>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</si>
  <si>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</si>
  <si>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</si>
  <si>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</si>
  <si>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</si>
  <si>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</si>
  <si>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</si>
  <si>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</si>
  <si>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</si>
  <si>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</si>
  <si>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</si>
  <si>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</si>
  <si>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</si>
  <si>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</si>
  <si>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</si>
  <si>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</si>
  <si>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</si>
  <si>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</si>
  <si>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</si>
  <si>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</si>
  <si>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</si>
  <si>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</si>
  <si>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</si>
  <si>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</si>
  <si>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</si>
  <si>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</si>
  <si>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</si>
  <si>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</si>
  <si>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</si>
  <si>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</si>
  <si>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</si>
  <si>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</si>
  <si>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</si>
  <si>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</si>
  <si>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</si>
  <si>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</si>
  <si>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</si>
  <si>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</si>
  <si>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</si>
  <si>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</si>
  <si>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</si>
  <si>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</si>
  <si>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</si>
  <si>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</si>
  <si>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</si>
  <si>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</si>
  <si>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</si>
  <si>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</si>
  <si>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</si>
  <si>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</si>
  <si>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</si>
  <si>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</si>
  <si>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</si>
  <si>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</si>
  <si>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</si>
  <si>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</si>
  <si>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</si>
  <si>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</si>
  <si>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</si>
  <si>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</si>
  <si>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</si>
  <si>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</si>
  <si>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</si>
  <si>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</si>
  <si>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</si>
  <si>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</si>
  <si>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</si>
  <si>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</si>
  <si>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</si>
  <si>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</si>
  <si>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</si>
  <si>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</si>
  <si>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</si>
  <si>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</si>
  <si>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</si>
  <si>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</si>
  <si>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</si>
  <si>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</si>
  <si>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</si>
  <si>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</si>
  <si>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</si>
  <si>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</si>
  <si>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</si>
  <si>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</si>
  <si>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</si>
  <si>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</si>
  <si>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</si>
  <si>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</si>
  <si>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</si>
  <si>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</si>
  <si>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</si>
  <si>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</si>
  <si>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</si>
  <si>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</si>
  <si>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</si>
  <si>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</si>
  <si>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</si>
  <si>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</si>
  <si>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</si>
  <si>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</si>
  <si>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</si>
  <si>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</si>
  <si>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</si>
  <si>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</si>
  <si>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</si>
  <si>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</si>
  <si>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</si>
  <si>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</si>
  <si>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</si>
  <si>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</si>
  <si>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</si>
  <si>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</si>
  <si>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</si>
  <si>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</si>
  <si>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</si>
  <si>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</si>
  <si>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</si>
  <si>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</si>
  <si>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</si>
  <si>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</si>
  <si>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</si>
  <si>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</si>
  <si>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</si>
  <si>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</si>
  <si>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</si>
  <si>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</si>
  <si>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</si>
  <si>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</si>
  <si>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</si>
  <si>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</si>
  <si>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</si>
  <si>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</si>
  <si>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</si>
  <si>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</si>
  <si>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</si>
  <si>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</si>
  <si>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</si>
  <si>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</si>
  <si>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</si>
  <si>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</si>
  <si>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</si>
  <si>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</si>
  <si>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</si>
  <si>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</si>
  <si>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</si>
  <si>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</si>
  <si>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</si>
  <si>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</si>
  <si>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</si>
  <si>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</si>
  <si>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</si>
  <si>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</si>
  <si>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</si>
  <si>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</si>
  <si>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</si>
  <si>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</si>
  <si>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</si>
  <si>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</si>
  <si>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</si>
  <si>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</si>
  <si>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</si>
  <si>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</si>
  <si>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</si>
  <si>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</si>
  <si>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</si>
  <si>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</si>
  <si>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</si>
  <si>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</si>
  <si>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</si>
  <si>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</si>
  <si>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</si>
  <si>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</si>
  <si>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</si>
  <si>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</si>
  <si>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</si>
  <si>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</si>
  <si>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</si>
  <si>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</si>
  <si>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</si>
  <si>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</si>
  <si>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</si>
  <si>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</si>
  <si>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</si>
  <si>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</si>
  <si>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</si>
  <si>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</si>
  <si>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</si>
  <si>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</si>
  <si>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</si>
  <si>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</si>
  <si>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</si>
  <si>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</si>
  <si>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</si>
  <si>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</si>
  <si>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</si>
  <si>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</si>
  <si>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</si>
  <si>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</si>
  <si>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</si>
  <si>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</si>
  <si>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</si>
  <si>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</si>
  <si>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</si>
  <si>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</si>
  <si>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</si>
  <si>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</si>
  <si>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</si>
  <si>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</si>
  <si>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</si>
  <si>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</si>
  <si>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</si>
  <si>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</si>
  <si>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</si>
  <si>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</si>
  <si>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</si>
  <si>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</si>
  <si>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</si>
  <si>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</si>
  <si>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</si>
  <si>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</si>
  <si>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</si>
  <si>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</si>
  <si>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</si>
  <si>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</si>
  <si>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</si>
  <si>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</si>
  <si>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</si>
  <si>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</si>
  <si>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</si>
  <si>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</si>
  <si>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</si>
  <si>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</si>
  <si>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</si>
  <si>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</si>
  <si>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</si>
  <si>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</si>
  <si>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</si>
  <si>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</si>
  <si>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</si>
  <si>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</si>
  <si>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</si>
  <si>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</si>
  <si>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</si>
  <si>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</si>
  <si>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</si>
  <si>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</si>
  <si>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</si>
  <si>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</si>
  <si>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</si>
  <si>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</si>
  <si>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</si>
  <si>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</si>
  <si>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</si>
  <si>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</si>
  <si>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</si>
  <si>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</si>
  <si>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</si>
  <si>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</si>
  <si>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</si>
  <si>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</si>
  <si>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</si>
  <si>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</si>
  <si>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</si>
  <si>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</si>
  <si>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</si>
  <si>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</si>
  <si>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</si>
  <si>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</si>
  <si>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</si>
  <si>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</si>
  <si>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</si>
  <si>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</si>
  <si>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</si>
  <si>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</si>
  <si>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</si>
  <si>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</si>
  <si>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</si>
  <si>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</si>
  <si>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</si>
  <si>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</si>
  <si>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</si>
  <si>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</si>
  <si>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</si>
  <si>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</si>
  <si>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</si>
  <si>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</si>
  <si>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</si>
  <si>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</si>
  <si>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</si>
  <si>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</si>
  <si>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</si>
  <si>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</si>
  <si>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</si>
  <si>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</si>
  <si>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</si>
  <si>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</si>
  <si>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</si>
  <si>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</si>
  <si>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</si>
  <si>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</si>
  <si>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</si>
  <si>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</si>
  <si>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</si>
  <si>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</si>
  <si>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</si>
  <si>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</si>
  <si>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</si>
  <si>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</si>
  <si>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</si>
  <si>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</si>
  <si>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</si>
  <si>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</si>
  <si>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</si>
  <si>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</si>
  <si>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</si>
  <si>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</si>
  <si>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</si>
  <si>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</si>
  <si>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</si>
  <si>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</si>
  <si>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</si>
  <si>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</si>
  <si>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</si>
  <si>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</si>
  <si>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</si>
  <si>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</si>
  <si>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</si>
  <si>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</si>
  <si>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</si>
  <si>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</si>
  <si>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</si>
  <si>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</si>
  <si>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</si>
  <si>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</si>
  <si>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</si>
  <si>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</si>
  <si>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</si>
  <si>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</si>
  <si>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</si>
  <si>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</si>
  <si>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</si>
  <si>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</si>
  <si>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</si>
  <si>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</si>
  <si>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</si>
  <si>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</si>
  <si>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</si>
  <si>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</si>
  <si>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</si>
  <si>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</si>
  <si>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</si>
  <si>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</si>
  <si>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</si>
  <si>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</si>
  <si>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</si>
  <si>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</si>
  <si>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</si>
  <si>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</si>
  <si>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</si>
  <si>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</si>
  <si>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</si>
  <si>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</si>
  <si>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</si>
  <si>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</si>
  <si>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</si>
  <si>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</si>
  <si>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</si>
  <si>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</si>
  <si>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</si>
  <si>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</si>
  <si>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</si>
  <si>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</si>
  <si>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</si>
  <si>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</si>
  <si>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</si>
  <si>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</si>
  <si>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</si>
  <si>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</si>
  <si>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</si>
  <si>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</si>
  <si>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</si>
  <si>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</si>
  <si>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</si>
  <si>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</si>
  <si>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</si>
  <si>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</si>
  <si>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</si>
  <si>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</si>
  <si>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</si>
  <si>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</si>
  <si>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</si>
  <si>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</si>
  <si>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</si>
  <si>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</si>
  <si>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</si>
  <si>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</si>
  <si>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</si>
  <si>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</si>
  <si>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</si>
  <si>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</si>
  <si>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</si>
  <si>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</si>
  <si>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</si>
  <si>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</si>
  <si>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</si>
  <si>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</si>
  <si>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</si>
  <si>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</si>
  <si>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</si>
  <si>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</si>
  <si>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</si>
  <si>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</si>
  <si>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</si>
  <si>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</si>
  <si>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</si>
  <si>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</si>
  <si>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</si>
  <si>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</si>
  <si>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</si>
  <si>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</si>
  <si>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</si>
  <si>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</si>
  <si>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</si>
  <si>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</si>
  <si>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</si>
  <si>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</si>
  <si>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</si>
  <si>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</si>
  <si>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</si>
  <si>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</si>
  <si>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</si>
  <si>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</si>
  <si>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</si>
  <si>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</si>
  <si>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</si>
  <si>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</si>
  <si>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</si>
  <si>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</si>
  <si>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</si>
  <si>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</si>
  <si>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</si>
  <si>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</si>
  <si>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</si>
  <si>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</si>
  <si>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</si>
  <si>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</si>
  <si>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</si>
  <si>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</si>
  <si>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</si>
  <si>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</si>
  <si>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</si>
  <si>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</si>
  <si>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</si>
  <si>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</si>
  <si>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</si>
  <si>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</si>
  <si>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</si>
  <si>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</si>
  <si>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</si>
  <si>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</si>
  <si>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</si>
  <si>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</si>
  <si>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</si>
  <si>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</si>
  <si>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</si>
  <si>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</si>
  <si>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</si>
  <si>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</si>
  <si>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</si>
  <si>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</si>
  <si>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</si>
  <si>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</si>
  <si>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</si>
  <si>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</si>
  <si>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</si>
  <si>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</si>
  <si>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</si>
  <si>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</si>
  <si>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</si>
  <si>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</si>
  <si>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</si>
  <si>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</si>
  <si>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</si>
  <si>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</si>
  <si>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</si>
  <si>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</si>
  <si>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</si>
  <si>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</si>
  <si>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</si>
  <si>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</si>
  <si>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</si>
  <si>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</si>
  <si>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</si>
  <si>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</si>
  <si>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</si>
  <si>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</si>
  <si>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</si>
  <si>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</si>
  <si>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</si>
  <si>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</si>
  <si>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</si>
  <si>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</si>
  <si>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</si>
  <si>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</si>
  <si>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</si>
  <si>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</si>
  <si>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</si>
  <si>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</si>
  <si>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</si>
  <si>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</si>
  <si>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</si>
  <si>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</si>
  <si>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</si>
  <si>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</si>
  <si>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</si>
  <si>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</si>
  <si>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</si>
  <si>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</si>
  <si>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</si>
  <si>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</si>
  <si>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</si>
  <si>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</si>
  <si>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</si>
  <si>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</si>
  <si>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</si>
  <si>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</si>
  <si>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</si>
  <si>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</si>
  <si>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</si>
  <si>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</si>
  <si>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</si>
  <si>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</si>
  <si>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</si>
  <si>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</si>
  <si>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</si>
  <si>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</si>
  <si>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</si>
  <si>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</si>
  <si>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</si>
  <si>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</si>
  <si>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</si>
  <si>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</si>
  <si>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是</t>
  </si>
  <si>
    <r>
      <t>A</t>
    </r>
    <r>
      <rPr>
        <sz val="10"/>
        <color indexed="8"/>
        <rFont val="宋体"/>
        <family val="3"/>
        <charset val="134"/>
      </rPr>
      <t>段</t>
    </r>
    <phoneticPr fontId="3" type="noConversion"/>
  </si>
  <si>
    <r>
      <t>B</t>
    </r>
    <r>
      <rPr>
        <sz val="10"/>
        <color indexed="8"/>
        <rFont val="宋体"/>
        <family val="3"/>
        <charset val="134"/>
      </rPr>
      <t>段</t>
    </r>
    <phoneticPr fontId="3" type="noConversion"/>
  </si>
  <si>
    <r>
      <t>C</t>
    </r>
    <r>
      <rPr>
        <sz val="10"/>
        <color indexed="8"/>
        <rFont val="宋体"/>
        <family val="3"/>
        <charset val="134"/>
      </rPr>
      <t>段</t>
    </r>
    <phoneticPr fontId="3" type="noConversion"/>
  </si>
  <si>
    <r>
      <t>D</t>
    </r>
    <r>
      <rPr>
        <sz val="10"/>
        <color indexed="8"/>
        <rFont val="宋体"/>
        <family val="3"/>
        <charset val="134"/>
      </rPr>
      <t>段</t>
    </r>
    <phoneticPr fontId="3" type="noConversion"/>
  </si>
  <si>
    <r>
      <t>E</t>
    </r>
    <r>
      <rPr>
        <sz val="10"/>
        <color indexed="8"/>
        <rFont val="宋体"/>
        <family val="3"/>
        <charset val="134"/>
      </rPr>
      <t>段</t>
    </r>
    <phoneticPr fontId="3" type="noConversion"/>
  </si>
  <si>
    <t>否</t>
  </si>
  <si>
    <t>地上</t>
  </si>
  <si>
    <t>地下</t>
  </si>
  <si>
    <t>各楼层面积明细表</t>
    <phoneticPr fontId="3" type="noConversion"/>
  </si>
  <si>
    <t>单位：㎡</t>
    <phoneticPr fontId="3" type="noConversion"/>
  </si>
  <si>
    <t>楼层</t>
    <phoneticPr fontId="3" type="noConversion"/>
  </si>
  <si>
    <t>属性</t>
    <phoneticPr fontId="3" type="noConversion"/>
  </si>
  <si>
    <t>A段</t>
    <phoneticPr fontId="3" type="noConversion"/>
  </si>
  <si>
    <t>B段</t>
    <phoneticPr fontId="3" type="noConversion"/>
  </si>
  <si>
    <t>C段</t>
    <phoneticPr fontId="3" type="noConversion"/>
  </si>
  <si>
    <t>D段</t>
    <phoneticPr fontId="3" type="noConversion"/>
  </si>
  <si>
    <t>E段</t>
    <phoneticPr fontId="3" type="noConversion"/>
  </si>
  <si>
    <t>合计</t>
    <phoneticPr fontId="3" type="noConversion"/>
  </si>
  <si>
    <t>-2层</t>
    <phoneticPr fontId="3" type="noConversion"/>
  </si>
  <si>
    <t>设备</t>
    <phoneticPr fontId="3" type="noConversion"/>
  </si>
  <si>
    <t>人防</t>
    <phoneticPr fontId="3" type="noConversion"/>
  </si>
  <si>
    <t>-1层</t>
    <phoneticPr fontId="3" type="noConversion"/>
  </si>
  <si>
    <t>商业</t>
    <phoneticPr fontId="3" type="noConversion"/>
  </si>
  <si>
    <t>车库</t>
    <phoneticPr fontId="3" type="noConversion"/>
  </si>
  <si>
    <t>1层</t>
    <phoneticPr fontId="3" type="noConversion"/>
  </si>
  <si>
    <t>1.5层</t>
    <phoneticPr fontId="3" type="noConversion"/>
  </si>
  <si>
    <t>2层</t>
    <phoneticPr fontId="3" type="noConversion"/>
  </si>
  <si>
    <t>2.5层</t>
    <phoneticPr fontId="3" type="noConversion"/>
  </si>
  <si>
    <t>3层</t>
    <phoneticPr fontId="3" type="noConversion"/>
  </si>
  <si>
    <t>3.5层</t>
    <phoneticPr fontId="3" type="noConversion"/>
  </si>
  <si>
    <t>4层</t>
    <phoneticPr fontId="3" type="noConversion"/>
  </si>
  <si>
    <t>4.5层</t>
    <phoneticPr fontId="3" type="noConversion"/>
  </si>
  <si>
    <t>5层</t>
    <phoneticPr fontId="3" type="noConversion"/>
  </si>
  <si>
    <t>5.5层</t>
    <phoneticPr fontId="3" type="noConversion"/>
  </si>
  <si>
    <t>6层</t>
    <phoneticPr fontId="3" type="noConversion"/>
  </si>
  <si>
    <t>附属用房</t>
    <phoneticPr fontId="3" type="noConversion"/>
  </si>
  <si>
    <t>车库</t>
    <phoneticPr fontId="3" type="noConversion"/>
  </si>
  <si>
    <t>设备</t>
    <phoneticPr fontId="3" type="noConversion"/>
  </si>
  <si>
    <t>人防</t>
    <phoneticPr fontId="3" type="noConversion"/>
  </si>
  <si>
    <t>地下车库</t>
    <phoneticPr fontId="3" type="noConversion"/>
  </si>
  <si>
    <t>地上车库</t>
    <phoneticPr fontId="3" type="noConversion"/>
  </si>
  <si>
    <t>地上商业</t>
    <phoneticPr fontId="3" type="noConversion"/>
  </si>
  <si>
    <t>地上总建筑面积</t>
    <phoneticPr fontId="3" type="noConversion"/>
  </si>
  <si>
    <t>地下商业</t>
    <phoneticPr fontId="3" type="noConversion"/>
  </si>
  <si>
    <t>土地面积</t>
    <phoneticPr fontId="3" type="noConversion"/>
  </si>
  <si>
    <t>地上车库分摊土地面积</t>
    <phoneticPr fontId="3" type="noConversion"/>
  </si>
  <si>
    <t>建筑面积（不含人防）</t>
    <phoneticPr fontId="3" type="noConversion"/>
  </si>
  <si>
    <t>建筑面积（含人防）</t>
    <phoneticPr fontId="3" type="noConversion"/>
  </si>
  <si>
    <t>A</t>
    <phoneticPr fontId="3" type="noConversion"/>
  </si>
  <si>
    <t>B</t>
    <phoneticPr fontId="3" type="noConversion"/>
  </si>
  <si>
    <t>C</t>
    <phoneticPr fontId="3" type="noConversion"/>
  </si>
  <si>
    <t>D</t>
    <phoneticPr fontId="3" type="noConversion"/>
  </si>
  <si>
    <t>E</t>
    <phoneticPr fontId="3" type="noConversion"/>
  </si>
  <si>
    <t>小计</t>
    <phoneticPr fontId="3" type="noConversion"/>
  </si>
  <si>
    <t>商业</t>
    <phoneticPr fontId="7" type="noConversion"/>
  </si>
  <si>
    <t>车库</t>
    <phoneticPr fontId="7" type="noConversion"/>
  </si>
  <si>
    <t>成新度</t>
  </si>
  <si>
    <t>成本法</t>
  </si>
  <si>
    <t>收益法</t>
  </si>
  <si>
    <t>直线</t>
    <phoneticPr fontId="3" type="noConversion"/>
  </si>
  <si>
    <t>观察</t>
    <phoneticPr fontId="3" type="noConversion"/>
  </si>
  <si>
    <t>押一</t>
  </si>
  <si>
    <t>钢混</t>
  </si>
  <si>
    <t>非生产用房</t>
  </si>
  <si>
    <t>总价</t>
  </si>
  <si>
    <t>宗地容积率</t>
  </si>
  <si>
    <t>不临65条商业街</t>
  </si>
  <si>
    <t>通路</t>
  </si>
  <si>
    <t>通电</t>
  </si>
  <si>
    <t>通讯</t>
  </si>
  <si>
    <t>通上水</t>
  </si>
  <si>
    <t>通下水</t>
  </si>
  <si>
    <t>燃气</t>
  </si>
  <si>
    <t>平整</t>
  </si>
  <si>
    <t>与级别开发程度不一致</t>
  </si>
  <si>
    <t>较好</t>
  </si>
  <si>
    <t>好</t>
  </si>
  <si>
    <t>一般</t>
  </si>
  <si>
    <t>楼层修正</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</si>
  <si>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</si>
  <si>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</si>
  <si>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</si>
  <si>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</si>
  <si>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</si>
  <si>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</si>
  <si>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6</t>
    </r>
    <r>
      <rPr>
        <sz val="10"/>
        <color indexed="8"/>
        <rFont val="宋体"/>
        <family val="3"/>
        <charset val="134"/>
      </rPr>
      <t>层</t>
    </r>
    <phoneticPr fontId="3" type="noConversion"/>
  </si>
  <si>
    <r>
      <t>5.5</t>
    </r>
    <r>
      <rPr>
        <sz val="10"/>
        <color indexed="8"/>
        <rFont val="宋体"/>
        <family val="3"/>
        <charset val="134"/>
      </rPr>
      <t>层</t>
    </r>
    <phoneticPr fontId="3" type="noConversion"/>
  </si>
  <si>
    <t>附属用房</t>
    <phoneticPr fontId="3" type="noConversion"/>
  </si>
  <si>
    <t>未包含在土地购买价格中</t>
  </si>
  <si>
    <t>全部缴纳</t>
  </si>
  <si>
    <t>已包含在土地取得成本中</t>
  </si>
  <si>
    <t>收益法(车位)</t>
  </si>
  <si>
    <t>收益法(车位)</t>
    <phoneticPr fontId="16" type="noConversion"/>
  </si>
  <si>
    <t>收益法（汇总）</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</si>
  <si>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</si>
  <si>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</si>
  <si>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</si>
  <si>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</si>
  <si>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</si>
  <si>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</si>
  <si>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</si>
  <si>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</si>
  <si>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</si>
  <si>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</si>
  <si>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</si>
  <si>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</si>
  <si>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</si>
  <si>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</si>
  <si>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</si>
  <si>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</si>
  <si>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</si>
  <si>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北京市海淀区西北旺镇永丰产业基地(新)HD00-0403-004地块F3其他类多功能用地</t>
  </si>
  <si>
    <t>京土储挂(海)[2023]039号</t>
  </si>
  <si>
    <t xml:space="preserve"> 海淀区  </t>
  </si>
  <si>
    <t>商业/办公用地</t>
  </si>
  <si>
    <t xml:space="preserve"> 已成交  </t>
  </si>
  <si>
    <t xml:space="preserve"> F3其他类多功能用地  </t>
  </si>
  <si>
    <t>2023-08-03</t>
  </si>
  <si>
    <t xml:space="preserve"> 北京泽御置业有限公司  </t>
  </si>
  <si>
    <t>北京市海淀区西北旺镇永丰产业基地(新)HD00-0403-009地块F3其他类多功能用地</t>
  </si>
  <si>
    <t>京土储挂(海)[2022]063号</t>
  </si>
  <si>
    <t>2022-10-31</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</si>
  <si>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</si>
  <si>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</si>
  <si>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</si>
  <si>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</si>
  <si>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</si>
  <si>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</si>
  <si>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2021-10-26</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</si>
  <si>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</si>
  <si>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</si>
  <si>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</si>
  <si>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</si>
  <si>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</si>
  <si>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</si>
  <si>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</si>
  <si>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</si>
  <si>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</si>
  <si>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</si>
  <si>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B4综合性商业金融服务业用地  </t>
  </si>
  <si>
    <t>2020-12-02</t>
  </si>
  <si>
    <t xml:space="preserve"> 中国电建地产集团有限公司  </t>
  </si>
  <si>
    <t>北京市海淀区学院路北端A、B、C、J地块B4综合性商业金融服务业用地、B23研发设计用地</t>
  </si>
  <si>
    <t>京土整储招(海)[2019]034号</t>
  </si>
  <si>
    <t xml:space="preserve"> ≤4.04  </t>
  </si>
  <si>
    <t xml:space="preserve"> B4综合性商业金融服务业用地、B23研发设计用地  </t>
  </si>
  <si>
    <t>2019-12-02</t>
  </si>
  <si>
    <t xml:space="preserve"> --  </t>
  </si>
  <si>
    <t xml:space="preserve"> 紫光集团有限公司、紫光股份有限公司、紫光国芯微电子股份有限公司、北京紫光科技服务集团有限公司联合体  </t>
  </si>
  <si>
    <t>北京市海淀区西三旗1811-L04地块B4综合性商业金融服务业用地</t>
  </si>
  <si>
    <t>京土整储挂(海)[2019]015号</t>
  </si>
  <si>
    <t xml:space="preserve"> ≤2.8  </t>
  </si>
  <si>
    <t>2019-07-04</t>
  </si>
  <si>
    <t xml:space="preserve"> 北京润置商业运营管理有限公司  </t>
  </si>
  <si>
    <t>北京市海淀区"海淀北部地区整体开发"西北旺镇HD00-0402-0102地块(永丰产业基地)B1商业用地</t>
  </si>
  <si>
    <t>京土整储挂(海)[2019]005号</t>
  </si>
  <si>
    <t xml:space="preserve"> ≤3  </t>
  </si>
  <si>
    <t xml:space="preserve"> B1商业用地  </t>
  </si>
  <si>
    <t>2019-05-28</t>
  </si>
  <si>
    <t xml:space="preserve"> 北京实创科技园开发建设股份有限公司  </t>
  </si>
  <si>
    <t>北京市海淀区西八里庄0711-653地块B4综合性商业金融服务业用地</t>
  </si>
  <si>
    <t>京土整储挂(海)[2017]087号</t>
  </si>
  <si>
    <t>2017-11-16</t>
  </si>
  <si>
    <t xml:space="preserve"> 中国电子科技集团公司  </t>
  </si>
  <si>
    <t>海淀区“海淀北部地区整体开发”中关村环保科技园HD-0303-0071地块</t>
  </si>
  <si>
    <t>京土整储挂(海)[2016]009号</t>
  </si>
  <si>
    <t xml:space="preserve"> B2商务用地  </t>
  </si>
  <si>
    <t>2016-06-02</t>
  </si>
  <si>
    <t xml:space="preserve"> 北京龙湖中佰置业有限公司、北京龙湖天行置业有限公司联合体  </t>
  </si>
  <si>
    <t>海淀区“海淀北部地区整体开发”HD-0303-0031地块</t>
  </si>
  <si>
    <t>京土整储挂(海)[2015]044号</t>
  </si>
  <si>
    <t>2015-10-28</t>
  </si>
  <si>
    <t xml:space="preserve"> 神州数码软件有限公司、神州数码(中国)有限公司联合体  </t>
  </si>
  <si>
    <t>海淀区“海淀北部地区整体开发”HD-0303-0062地块</t>
  </si>
  <si>
    <t>京土整储挂(海)[2015]042号</t>
  </si>
  <si>
    <t xml:space="preserve"> B2商务用地用地  </t>
  </si>
  <si>
    <t>2015-10-27</t>
  </si>
  <si>
    <t xml:space="preserve"> 北京万科企业有限公司  </t>
  </si>
  <si>
    <t>海淀北部地区整体开发中关村永丰产业基地HD-0402-0078地块B2商务用地</t>
  </si>
  <si>
    <t>京土整储挂(海)[2014]087号</t>
  </si>
  <si>
    <t>2015-01-13</t>
  </si>
  <si>
    <t xml:space="preserve"> 中关村发展集团股份有限公司、北京中关村软件园发展有限责任公司联合体  </t>
  </si>
  <si>
    <t>七通</t>
  </si>
  <si>
    <t>40</t>
    <phoneticPr fontId="30" type="noConversion"/>
  </si>
  <si>
    <t>七通</t>
    <phoneticPr fontId="30" type="noConversion"/>
  </si>
  <si>
    <t>六通</t>
  </si>
  <si>
    <t>六通</t>
    <phoneticPr fontId="30" type="noConversion"/>
  </si>
  <si>
    <t>五通</t>
  </si>
  <si>
    <t>五通</t>
    <phoneticPr fontId="30" type="noConversion"/>
  </si>
  <si>
    <t>四通</t>
  </si>
  <si>
    <t>四通</t>
    <phoneticPr fontId="30" type="noConversion"/>
  </si>
  <si>
    <t>三通</t>
    <phoneticPr fontId="30" type="noConversion"/>
  </si>
  <si>
    <t>住宅</t>
  </si>
  <si>
    <t>商业、停车楼</t>
  </si>
  <si>
    <t>商业、停车楼</t>
    <phoneticPr fontId="30" type="noConversion"/>
  </si>
  <si>
    <t>商业</t>
    <phoneticPr fontId="30" type="noConversion"/>
  </si>
  <si>
    <t>0.25-0.3</t>
    <phoneticPr fontId="30" type="noConversion"/>
  </si>
  <si>
    <t>停车楼面积</t>
    <phoneticPr fontId="30" type="noConversion"/>
  </si>
  <si>
    <t>总面积</t>
    <phoneticPr fontId="30" type="noConversion"/>
  </si>
  <si>
    <t>成本比率</t>
  </si>
  <si>
    <t>主干道</t>
  </si>
  <si>
    <t>主干道</t>
    <phoneticPr fontId="30" type="noConversion"/>
  </si>
  <si>
    <t>次干道</t>
  </si>
  <si>
    <t>次干道</t>
    <phoneticPr fontId="30" type="noConversion"/>
  </si>
  <si>
    <t>次干道</t>
    <phoneticPr fontId="30" type="noConversion"/>
  </si>
  <si>
    <t>按台账整理</t>
    <phoneticPr fontId="3" type="noConversion"/>
  </si>
  <si>
    <t>取楼层比例</t>
    <phoneticPr fontId="3" type="noConversion"/>
  </si>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</sst>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43" fontId="0" fillId="0" borderId="0" xfId="19" applyFont="1" applyAlignment="1">
      <alignment horizontal="center" vertical="center"/>
    </xf>
    <xf numFmtId="43" fontId="36" fillId="0" borderId="0" xfId="19" applyFont="1" applyAlignment="1">
      <alignment horizontal="center" vertical="center"/>
    </xf>
    <xf numFmtId="49" fontId="0" fillId="22" borderId="1" xfId="0" applyNumberFormat="1" applyFill="1" applyBorder="1" applyAlignment="1">
      <alignment horizontal="center" vertical="center"/>
    </xf>
    <xf numFmtId="0" fontId="0" fillId="22" borderId="1" xfId="0" applyFill="1" applyBorder="1" applyAlignment="1">
      <alignment horizontal="center" vertical="center"/>
    </xf>
    <xf numFmtId="43" fontId="0" fillId="22" borderId="1" xfId="19" applyFont="1" applyFill="1" applyBorder="1" applyAlignment="1">
      <alignment horizontal="center" vertical="center"/>
    </xf>
    <xf numFmtId="49" fontId="36" fillId="22" borderId="1" xfId="0" applyNumberFormat="1" applyFont="1" applyFill="1" applyBorder="1" applyAlignment="1">
      <alignment horizontal="center" vertical="center"/>
    </xf>
    <xf numFmtId="43" fontId="0" fillId="0" borderId="1" xfId="19" applyFont="1" applyFill="1" applyBorder="1" applyAlignment="1">
      <alignment horizontal="center" vertical="center"/>
    </xf>
    <xf numFmtId="196" fontId="0" fillId="0" borderId="0" xfId="0" applyNumberFormat="1" applyAlignment="1">
      <alignment horizontal="center" vertical="center"/>
    </xf>
    <xf numFmtId="43" fontId="36" fillId="0" borderId="1" xfId="19" applyFont="1" applyFill="1" applyBorder="1" applyAlignment="1">
      <alignment horizontal="center" vertical="center"/>
    </xf>
    <xf numFmtId="43" fontId="0" fillId="0" borderId="0" xfId="0" applyNumberFormat="1" applyAlignment="1">
      <alignment horizontal="center" vertical="center"/>
    </xf>
    <xf numFmtId="0" fontId="36" fillId="0" borderId="1" xfId="0" applyFont="1" applyBorder="1" applyAlignment="1">
      <alignment horizontal="center" vertical="center"/>
    </xf>
    <xf numFmtId="43" fontId="0" fillId="0" borderId="1" xfId="19" applyFont="1" applyBorder="1" applyAlignment="1">
      <alignment horizontal="center" vertical="center"/>
    </xf>
    <xf numFmtId="43" fontId="0" fillId="8" borderId="1" xfId="19" applyFont="1" applyFill="1" applyBorder="1" applyAlignment="1">
      <alignment horizontal="center" vertical="center"/>
    </xf>
    <xf numFmtId="0" fontId="0" fillId="0" borderId="1" xfId="0" applyBorder="1" applyAlignment="1">
      <alignment horizontal="center" vertical="center"/>
    </xf>
    <xf numFmtId="0" fontId="36" fillId="0" borderId="0" xfId="0" applyFont="1" applyAlignment="1">
      <alignment horizontal="center" vertical="center"/>
    </xf>
    <xf numFmtId="196" fontId="0" fillId="0" borderId="1" xfId="0" applyNumberFormat="1" applyBorder="1" applyAlignment="1">
      <alignment horizontal="center" vertical="center"/>
    </xf>
    <xf numFmtId="0" fontId="77" fillId="12" borderId="0" xfId="0" applyFont="1" applyFill="1" applyAlignment="1" applyProtection="1">
      <alignment vertical="center"/>
      <protection locked="0"/>
    </xf>
    <xf numFmtId="43" fontId="58" fillId="0" borderId="1" xfId="8" applyNumberFormat="1" applyFont="1" applyFill="1" applyBorder="1" applyAlignment="1" applyProtection="1">
      <alignment horizontal="center" vertical="center" wrapText="1"/>
      <protection locked="0"/>
    </xf>
    <xf numFmtId="43" fontId="47"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12" borderId="0" xfId="0" applyNumberFormat="1" applyFont="1" applyFill="1" applyBorder="1" applyAlignment="1" applyProtection="1">
      <alignment horizontal="center" vertical="center"/>
      <protection locked="0"/>
    </xf>
    <xf numFmtId="0" fontId="128" fillId="12" borderId="0" xfId="0" applyFont="1" applyFill="1" applyBorder="1" applyAlignment="1" applyProtection="1">
      <alignment horizontal="center"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0" fillId="0" borderId="0" xfId="0" applyFont="1" applyAlignment="1">
      <alignment horizontal="center" vertical="center"/>
    </xf>
    <xf numFmtId="43" fontId="0" fillId="0" borderId="5" xfId="19" applyFont="1" applyBorder="1" applyAlignment="1">
      <alignment horizontal="center" vertical="center"/>
    </xf>
    <xf numFmtId="43" fontId="0" fillId="0" borderId="3" xfId="19"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xdr:colOff>
      <xdr:row>50</xdr:row>
      <xdr:rowOff>95250</xdr:rowOff>
    </xdr:from>
    <xdr:to>
      <xdr:col>5</xdr:col>
      <xdr:colOff>923422</xdr:colOff>
      <xdr:row>57</xdr:row>
      <xdr:rowOff>171291</xdr:rowOff>
    </xdr:to>
    <xdr:pic>
      <xdr:nvPicPr>
        <xdr:cNvPr id="2" name="图片 1"/>
        <xdr:cNvPicPr>
          <a:picLocks noChangeAspect="1"/>
        </xdr:cNvPicPr>
      </xdr:nvPicPr>
      <xdr:blipFill>
        <a:blip xmlns:r="http://schemas.openxmlformats.org/officeDocument/2006/relationships" r:embed="rId1"/>
        <a:stretch>
          <a:fillRect/>
        </a:stretch>
      </xdr:blipFill>
      <xdr:spPr>
        <a:xfrm>
          <a:off x="1914525" y="5372100"/>
          <a:ext cx="4028572"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估价对象为房地产，为所有。根据《国有土地使用证》[]，估价对象（分摊）出让国有建设用地使用权面积为50687.57平方米，建筑面积为199991.93平方米。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估价对象为房地产,属开发建设的，该项目尚在开发建设中。根据《国有土地使用证》[]，估价对象（分摊）出让国有建设用地使用权面积为50687.57平方米，规划建筑面积为199991.93平方米。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2023年9月13日（评估专业人员实地查勘之日）</v>
      </c>
    </row>
    <row r="13" spans="1:2" s="1202" customFormat="1">
      <c r="A13" s="1200" t="s">
        <v>529</v>
      </c>
      <c r="B13" s="1201"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501329</v>
      </c>
    </row>
    <row r="21" spans="1:2" s="1202" customFormat="1">
      <c r="A21" s="1200" t="s">
        <v>537</v>
      </c>
      <c r="B21" s="1201">
        <f ca="1">'预评函-2'!D7</f>
        <v>25067</v>
      </c>
    </row>
    <row r="22" spans="1:2" s="1202" customFormat="1">
      <c r="A22" s="1200" t="s">
        <v>538</v>
      </c>
      <c r="B22" s="1201" t="str">
        <f ca="1">'预评函-2'!D6</f>
        <v>伍拾亿壹仟叁佰贰拾玖万元整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501329</v>
      </c>
    </row>
    <row r="31" spans="1:2" s="1202" customFormat="1">
      <c r="A31" s="1200" t="s">
        <v>576</v>
      </c>
      <c r="B31" s="1201">
        <f ca="1">'预评函-2'!D15</f>
        <v>25067</v>
      </c>
    </row>
    <row r="32" spans="1:2" s="1202" customFormat="1">
      <c r="A32" s="1200" t="s">
        <v>543</v>
      </c>
      <c r="B32" s="1201" t="str">
        <f ca="1">'预评函-2'!D14</f>
        <v>伍拾亿壹仟叁佰贰拾玖万元整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199991.93</v>
      </c>
    </row>
    <row r="44" spans="1:2" s="1202" customFormat="1">
      <c r="A44" s="1200" t="s">
        <v>575</v>
      </c>
      <c r="B44" s="1201" t="str">
        <f>'预评函-3'!C2</f>
        <v>(分摊)土地面积</v>
      </c>
    </row>
    <row r="45" spans="1:2" s="1202" customFormat="1">
      <c r="A45" s="1200" t="s">
        <v>547</v>
      </c>
      <c r="B45" s="1201">
        <f>'预评函-3'!C4</f>
        <v>50687.57</v>
      </c>
    </row>
    <row r="46" spans="1:2" s="1202" customFormat="1">
      <c r="A46" s="1200" t="s">
        <v>573</v>
      </c>
      <c r="B46" s="1201" t="str">
        <f>'预评函-3'!D2</f>
        <v>出让国有建设用地使用权价值</v>
      </c>
    </row>
    <row r="47" spans="1:2" s="1202" customFormat="1">
      <c r="A47" s="1200" t="s">
        <v>548</v>
      </c>
      <c r="B47" s="1201">
        <f ca="1">'预评函-3'!D4</f>
        <v>402066</v>
      </c>
    </row>
    <row r="48" spans="1:2" s="1202" customFormat="1">
      <c r="A48" s="1200" t="s">
        <v>549</v>
      </c>
      <c r="B48" s="1201">
        <f ca="1">'预评函-3'!E4</f>
        <v>20104</v>
      </c>
    </row>
    <row r="49" spans="1:2" s="1202" customFormat="1">
      <c r="A49" s="1200" t="s">
        <v>550</v>
      </c>
      <c r="B49" s="1201" t="str">
        <f ca="1">'预评函-3'!D5</f>
        <v>肆拾亿贰仟零陆拾陆万元整</v>
      </c>
    </row>
    <row r="50" spans="1:2" s="1202" customFormat="1">
      <c r="A50" s="1200" t="s">
        <v>574</v>
      </c>
      <c r="B50" s="1201" t="str">
        <f>'预评函-3'!F2</f>
        <v>在建建筑物价值</v>
      </c>
    </row>
    <row r="51" spans="1:2" s="1202" customFormat="1">
      <c r="A51" s="1200" t="s">
        <v>551</v>
      </c>
      <c r="B51" s="1201">
        <f ca="1">'预评函-3'!F4</f>
        <v>99263</v>
      </c>
    </row>
    <row r="52" spans="1:2" s="1202" customFormat="1">
      <c r="A52" s="1200" t="s">
        <v>552</v>
      </c>
      <c r="B52" s="1201">
        <f ca="1">'预评函-3'!G4</f>
        <v>4963</v>
      </c>
    </row>
    <row r="53" spans="1:2" s="1202" customFormat="1">
      <c r="A53" s="1200" t="s">
        <v>580</v>
      </c>
      <c r="B53" s="1201" t="str">
        <f ca="1">'预评函-3'!F5</f>
        <v>玖亿玖仟贰佰陆拾叁万元整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3474</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3" t="s">
        <v>385</v>
      </c>
      <c r="C54" s="1550" t="s">
        <v>583</v>
      </c>
    </row>
    <row r="55" spans="1:4">
      <c r="A55" s="3542"/>
      <c r="B55" s="1553" t="s">
        <v>386</v>
      </c>
      <c r="C55" s="1550" t="s">
        <v>584</v>
      </c>
    </row>
    <row r="56" spans="1:4">
      <c r="A56" s="3542"/>
      <c r="B56" s="1553" t="s">
        <v>387</v>
      </c>
      <c r="C56" s="1550" t="s">
        <v>588</v>
      </c>
    </row>
    <row r="57" spans="1:4">
      <c r="A57" s="354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43" t="s">
        <v>2583</v>
      </c>
      <c r="J2" s="3543"/>
      <c r="K2" s="3543"/>
      <c r="L2" s="3543"/>
      <c r="M2" s="3543"/>
      <c r="N2" s="3543"/>
      <c r="O2" s="3543"/>
      <c r="P2" s="3543"/>
      <c r="Q2" s="3543"/>
      <c r="R2" s="3543"/>
    </row>
    <row r="3" spans="1:18">
      <c r="A3" s="3019" t="s">
        <v>2504</v>
      </c>
      <c r="B3" s="3020">
        <f>项目基本情况!D3</f>
        <v>45182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3.26</v>
      </c>
      <c r="D5" s="3024">
        <f>IF(ISERROR(ROUND(POWER(1+E5,A5-C5)*(POWER(1+E5,C5)-1)/(POWER(1+E5,A5)-1),3)),0,ROUND(POWER(1+E5,A5-C5)*(POWER(1+E5,C5)-1)/(POWER(1+E5,A5)-1),4))</f>
        <v>0.15160000000000001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13.27</v>
      </c>
      <c r="D6" s="3024">
        <f>IF(ISERROR(ROUND(POWER(1+E6,A6-C6)*(POWER(1+E6,C6)-1)/(POWER(1+E6,A6)-1),3)),0,ROUND(POWER(1+E6,A6-C6)*(POWER(1+E6,C6)-1)/(POWER(1+E6,A6)-1),4))</f>
        <v>0.47220000000000001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33.29</v>
      </c>
      <c r="D7" s="3024">
        <f>IF(ISERROR(ROUND(POWER(1+E7,A7-C7)*(POWER(1+E7,C7)-1)/(POWER(1+E7,A7)-1),3)),0,ROUND(POWER(1+E7,A7-C7)*(POWER(1+E7,C7)-1)/(POWER(1+E7,A7)-1),4))</f>
        <v>0.77900000000000003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44" t="str">
        <f>IF(B10="北京市","北京市",C10)&amp;F10&amp;IF(结果表!G1="在建","出让国有建设用地使用权及在建建筑物",IF(结果表!G1="土地","出让国有建设用地使用权",))&amp;B9&amp;"预评估"</f>
        <v>房地产抵押价值预评估</v>
      </c>
      <c r="C1" s="3545"/>
      <c r="D1" s="3545"/>
      <c r="E1" s="3545"/>
      <c r="F1" s="3545"/>
      <c r="G1" s="3545"/>
      <c r="H1" s="3545"/>
      <c r="I1" s="354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2169</v>
      </c>
      <c r="B3" s="2372">
        <v>45182</v>
      </c>
      <c r="C3" s="2373" t="s">
        <v>2170</v>
      </c>
      <c r="D3" s="2372">
        <v>45182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47" t="s">
        <v>2176</v>
      </c>
      <c r="E8" s="2390" t="s">
        <v>3380</v>
      </c>
      <c r="F8" s="2391"/>
      <c r="G8" s="2662"/>
      <c r="H8" s="2662"/>
      <c r="I8" s="2662"/>
      <c r="J8" s="2438"/>
      <c r="K8" s="2613"/>
      <c r="L8" s="2612"/>
      <c r="M8" s="2612"/>
      <c r="N8" s="2438"/>
      <c r="O8" s="2449"/>
      <c r="P8" s="2438"/>
      <c r="Q8" s="2438"/>
      <c r="R8" s="2438"/>
    </row>
    <row r="9" spans="1:30" ht="13.5" thickBot="1">
      <c r="A9" s="2392" t="s">
        <v>2177</v>
      </c>
      <c r="B9" s="2393" t="s">
        <v>3380</v>
      </c>
      <c r="C9" s="2394"/>
      <c r="D9" s="3548"/>
      <c r="E9" s="2393" t="s">
        <v>43</v>
      </c>
      <c r="F9" s="2395"/>
      <c r="G9" s="2664"/>
      <c r="H9" s="2664"/>
      <c r="I9" s="2664"/>
      <c r="J9" s="2438"/>
      <c r="K9" s="2615"/>
      <c r="L9" s="2612"/>
      <c r="M9" s="2612"/>
      <c r="N9" s="2438"/>
      <c r="O9" s="2449"/>
      <c r="P9" s="2438"/>
      <c r="Q9" s="2438"/>
      <c r="R9" s="2438"/>
    </row>
    <row r="10" spans="1:30" ht="13.5" thickTop="1">
      <c r="A10" s="2396" t="s">
        <v>2178</v>
      </c>
      <c r="B10" s="2397"/>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3337</v>
      </c>
      <c r="B13" s="2406" t="s">
        <v>2189</v>
      </c>
      <c r="C13" s="856"/>
      <c r="D13" s="856">
        <v>52728</v>
      </c>
      <c r="E13" s="856"/>
      <c r="F13" s="856">
        <v>56380</v>
      </c>
      <c r="G13" s="856"/>
      <c r="H13" s="856">
        <f>F13</f>
        <v>56380</v>
      </c>
      <c r="I13" s="856"/>
      <c r="J13" s="3061"/>
      <c r="K13" s="2612"/>
      <c r="L13" s="2612"/>
      <c r="M13" s="2438"/>
      <c r="N13" s="2449"/>
      <c r="O13" s="2438"/>
      <c r="P13" s="2438"/>
      <c r="Q13" s="2438"/>
      <c r="AD13" s="1744"/>
    </row>
    <row r="14" spans="1:30">
      <c r="A14" s="1081"/>
      <c r="B14" s="2406" t="s">
        <v>2190</v>
      </c>
      <c r="C14" s="2407"/>
      <c r="D14" s="2407">
        <v>40</v>
      </c>
      <c r="E14" s="2407"/>
      <c r="F14" s="2407">
        <v>50</v>
      </c>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20.67</v>
      </c>
      <c r="E15" s="2409" t="str">
        <f>IF(A13="出让",IF(E13="","",ROUNDDOWN(MIN((E13-$D$3)/365,E14),2)),E14)</f>
        <v/>
      </c>
      <c r="F15" s="2409">
        <f>IF(A13="出让",IF(F13="","",ROUNDDOWN(MIN((F13-$D$3)/365,F14),2)),F14)</f>
        <v>30.67</v>
      </c>
      <c r="G15" s="2409" t="str">
        <f>IF(A13="出让",IF(G13="","",ROUNDDOWN(MIN((G13-$D$3)/365,G14),2)),G14)</f>
        <v/>
      </c>
      <c r="H15" s="2409">
        <f>IF(A13="出让",IF(H13="","",ROUNDDOWN(MIN((H13-$D$3)/365,H14),2)),H14)</f>
        <v>30.67</v>
      </c>
      <c r="I15" s="2409" t="str">
        <f>IF(A13="出让",IF(I13="","",ROUNDDOWN(MIN((I13-$D$3)/365,I14),2)),I14)</f>
        <v/>
      </c>
      <c r="J15" s="3063"/>
      <c r="K15" s="2450"/>
      <c r="L15" s="2450"/>
      <c r="M15" s="2508"/>
      <c r="N15" s="2450"/>
      <c r="O15" s="2508"/>
      <c r="P15" s="2438"/>
      <c r="Q15" s="2438"/>
      <c r="AD15" s="1744"/>
    </row>
    <row r="16" spans="1:30">
      <c r="A16" s="2399" t="s">
        <v>2192</v>
      </c>
      <c r="B16" s="3554"/>
      <c r="C16" s="3555"/>
      <c r="D16" s="3556"/>
      <c r="E16" s="2412" t="s">
        <v>2193</v>
      </c>
      <c r="F16" s="3557"/>
      <c r="G16" s="3558"/>
      <c r="H16" s="3558"/>
      <c r="I16" s="3559"/>
      <c r="J16" s="2438"/>
      <c r="K16" s="2616"/>
      <c r="L16" s="2450"/>
      <c r="M16" s="2450"/>
      <c r="N16" s="2508"/>
      <c r="O16" s="2450"/>
      <c r="P16" s="2508"/>
      <c r="Q16" s="2438"/>
      <c r="R16" s="2438"/>
    </row>
    <row r="17" spans="1:28">
      <c r="A17" s="313" t="s">
        <v>2194</v>
      </c>
      <c r="B17" s="302" t="s">
        <v>2195</v>
      </c>
      <c r="C17" s="8">
        <f>'数据-汇总表'!E3</f>
        <v>199991.93</v>
      </c>
      <c r="D17" s="2321" t="s">
        <v>2196</v>
      </c>
      <c r="E17" s="3560" t="s">
        <v>2197</v>
      </c>
      <c r="F17" s="3561"/>
      <c r="G17" s="3561"/>
      <c r="H17" s="3561"/>
      <c r="I17" s="3562"/>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50687.57</v>
      </c>
      <c r="D18" s="1092" t="s">
        <v>2200</v>
      </c>
      <c r="E18" s="3563" t="s">
        <v>2201</v>
      </c>
      <c r="F18" s="3564"/>
      <c r="G18" s="3564"/>
      <c r="H18" s="3564"/>
      <c r="I18" s="356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50" t="s">
        <v>2205</v>
      </c>
      <c r="C20" s="3551"/>
      <c r="D20" s="3552" t="s">
        <v>2206</v>
      </c>
      <c r="E20" s="3553"/>
      <c r="F20" s="2646" t="s">
        <v>1056</v>
      </c>
      <c r="G20" s="2663"/>
      <c r="H20" s="2663"/>
      <c r="I20" s="2663"/>
      <c r="J20" s="2438"/>
      <c r="K20" s="354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7"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7"/>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7"/>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8"/>
      <c r="B30" s="302" t="s">
        <v>2217</v>
      </c>
      <c r="C30" s="3569"/>
      <c r="D30" s="3570"/>
      <c r="E30" s="2663"/>
      <c r="F30" s="2663"/>
      <c r="G30" s="2663"/>
      <c r="H30" s="2663"/>
      <c r="I30" s="2663"/>
      <c r="J30" s="2438"/>
      <c r="K30" s="2615"/>
      <c r="L30" s="2612"/>
      <c r="M30" s="2612"/>
      <c r="N30" s="2438"/>
      <c r="O30" s="2449"/>
      <c r="P30" s="2438"/>
      <c r="Q30" s="2438"/>
      <c r="R30" s="2438"/>
      <c r="S30" s="2438"/>
      <c r="T30" s="2438"/>
      <c r="U30" s="2438"/>
      <c r="V30" s="2438"/>
    </row>
    <row r="31" spans="1:28">
      <c r="A31" s="3571"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7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7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66" t="s">
        <v>2227</v>
      </c>
      <c r="T34" s="2427" t="str">
        <f>NUMBERSTRING(7-K34,1)&amp;"通"</f>
        <v>七通</v>
      </c>
      <c r="U34" s="2438"/>
      <c r="V34" s="2438"/>
    </row>
    <row r="35" spans="1:30">
      <c r="A35" s="2428"/>
      <c r="B35" s="3573" t="s">
        <v>2228</v>
      </c>
      <c r="C35" s="3573"/>
      <c r="D35" s="3573"/>
      <c r="E35" s="357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6"/>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t="s">
        <v>110</v>
      </c>
      <c r="C37" s="2430" t="s">
        <v>110</v>
      </c>
      <c r="D37" s="2430" t="s">
        <v>296</v>
      </c>
      <c r="E37" s="2430" t="s">
        <v>296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148</v>
      </c>
      <c r="C38" s="2431" t="s">
        <v>148</v>
      </c>
      <c r="D38" s="2431" t="s">
        <v>156</v>
      </c>
      <c r="E38" s="2431" t="s">
        <v>129</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9" width="9.5" style="1572" hidden="1" customWidth="1"/>
    <col min="40"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125311.16</v>
      </c>
      <c r="B3" s="11">
        <f>IF(C3="否",G5-AT5,G5)</f>
        <v>494425.35000000003</v>
      </c>
      <c r="C3" s="1579" t="s">
        <v>3387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551949.53</v>
      </c>
      <c r="H5" s="13">
        <f t="shared" ref="H5:AT5" si="0">SUM(H13:H656)</f>
        <v>489437.91</v>
      </c>
      <c r="I5" s="13">
        <f t="shared" si="0"/>
        <v>319211.77999999997</v>
      </c>
      <c r="J5" s="13">
        <f t="shared" si="0"/>
        <v>0</v>
      </c>
      <c r="K5" s="13">
        <f t="shared" si="0"/>
        <v>51775.470000000008</v>
      </c>
      <c r="L5" s="13">
        <f t="shared" si="0"/>
        <v>0</v>
      </c>
      <c r="M5" s="13">
        <f t="shared" si="0"/>
        <v>86076.95</v>
      </c>
      <c r="N5" s="13">
        <f t="shared" si="0"/>
        <v>0</v>
      </c>
      <c r="O5" s="13">
        <f t="shared" si="0"/>
        <v>32373.71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4987.4400000000005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4987.4400000000005</v>
      </c>
      <c r="AO5" s="13">
        <f t="shared" si="0"/>
        <v>0</v>
      </c>
      <c r="AP5" s="13">
        <f t="shared" si="0"/>
        <v>0</v>
      </c>
      <c r="AQ5" s="13">
        <f t="shared" si="0"/>
        <v>0</v>
      </c>
      <c r="AR5" s="13">
        <f t="shared" si="0"/>
        <v>0</v>
      </c>
      <c r="AS5" s="13">
        <f t="shared" si="0"/>
        <v>0</v>
      </c>
      <c r="AT5" s="13">
        <f t="shared" si="0"/>
        <v>57524.179999999993</v>
      </c>
      <c r="AU5" s="1345"/>
      <c r="AV5" s="12" t="s">
        <v>1070</v>
      </c>
      <c r="AW5" s="1346"/>
      <c r="AX5" s="1346"/>
      <c r="AY5" s="14" t="s">
        <v>2</v>
      </c>
      <c r="AZ5" s="15">
        <f t="shared" ref="AZ5:BT5" si="1">SUM(AZ13:AZ656)</f>
        <v>199991.93</v>
      </c>
      <c r="BA5" s="15">
        <f t="shared" si="1"/>
        <v>199527.59</v>
      </c>
      <c r="BB5" s="15">
        <f t="shared" si="1"/>
        <v>132004.29</v>
      </c>
      <c r="BC5" s="15">
        <f t="shared" si="1"/>
        <v>14105.84</v>
      </c>
      <c r="BD5" s="15">
        <f t="shared" si="1"/>
        <v>35391.620000000003</v>
      </c>
      <c r="BE5" s="15">
        <f t="shared" si="1"/>
        <v>18025.84</v>
      </c>
      <c r="BF5" s="15">
        <f t="shared" si="1"/>
        <v>0</v>
      </c>
      <c r="BG5" s="15">
        <f t="shared" si="1"/>
        <v>0</v>
      </c>
      <c r="BH5" s="15">
        <f t="shared" si="1"/>
        <v>0</v>
      </c>
      <c r="BI5" s="15">
        <f t="shared" si="1"/>
        <v>0</v>
      </c>
      <c r="BJ5" s="15">
        <f t="shared" si="1"/>
        <v>0</v>
      </c>
      <c r="BK5" s="15">
        <f t="shared" si="1"/>
        <v>0</v>
      </c>
      <c r="BL5" s="15">
        <f t="shared" si="1"/>
        <v>464.34</v>
      </c>
      <c r="BM5" s="15">
        <f t="shared" si="1"/>
        <v>0</v>
      </c>
      <c r="BN5" s="15">
        <f t="shared" si="1"/>
        <v>0</v>
      </c>
      <c r="BO5" s="15">
        <f t="shared" si="1"/>
        <v>0</v>
      </c>
      <c r="BP5" s="15">
        <f t="shared" si="1"/>
        <v>0</v>
      </c>
      <c r="BQ5" s="15">
        <f t="shared" si="1"/>
        <v>0</v>
      </c>
      <c r="BR5" s="15">
        <f t="shared" si="1"/>
        <v>464.34</v>
      </c>
      <c r="BS5" s="15">
        <f t="shared" si="1"/>
        <v>0</v>
      </c>
      <c r="BT5" s="16">
        <f t="shared" si="1"/>
        <v>0</v>
      </c>
    </row>
    <row r="6" spans="1:72" s="1588" customFormat="1" ht="12.75">
      <c r="A6" s="12" t="s">
        <v>1071</v>
      </c>
      <c r="B6" s="1585"/>
      <c r="C6" s="1585"/>
      <c r="D6" s="1586"/>
      <c r="E6" s="13">
        <f>H6+AC6+AT6</f>
        <v>125311.15999999999</v>
      </c>
      <c r="F6" s="13" t="s">
        <v>0</v>
      </c>
      <c r="G6" s="13" t="s">
        <v>1</v>
      </c>
      <c r="H6" s="17">
        <f>SUMIF(I$12:AB$12,"总值",I6:AB6)</f>
        <v>124047.09999999999</v>
      </c>
      <c r="I6" s="13">
        <f t="shared" ref="I6:AB6" si="2">ROUND($A$3*I5/$B$3,2)</f>
        <v>80903.62</v>
      </c>
      <c r="J6" s="13">
        <f t="shared" si="2"/>
        <v>0</v>
      </c>
      <c r="K6" s="13">
        <f t="shared" si="2"/>
        <v>13122.39</v>
      </c>
      <c r="L6" s="13">
        <f t="shared" si="2"/>
        <v>0</v>
      </c>
      <c r="M6" s="13">
        <f t="shared" si="2"/>
        <v>21816.04</v>
      </c>
      <c r="N6" s="13">
        <f t="shared" si="2"/>
        <v>0</v>
      </c>
      <c r="O6" s="13">
        <f t="shared" si="2"/>
        <v>8205.0499999999993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1264.06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1264.06</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50687.57</v>
      </c>
      <c r="AZ6" s="13" t="s">
        <v>2</v>
      </c>
      <c r="BA6" s="13">
        <f>ROUND($AY$6*BA5/$AZ$5,2)</f>
        <v>50569.88</v>
      </c>
      <c r="BB6" s="13">
        <f>ROUND($AY$6*BB5/$AZ$5,2)</f>
        <v>33456.230000000003</v>
      </c>
      <c r="BC6" s="13">
        <f t="shared" ref="BC6:BH6" si="4">ROUND($AY$6*BC5/$AZ$5,2)</f>
        <v>3575.1</v>
      </c>
      <c r="BD6" s="13">
        <f t="shared" si="4"/>
        <v>8969.94</v>
      </c>
      <c r="BE6" s="13">
        <f t="shared" si="4"/>
        <v>4568.6099999999997</v>
      </c>
      <c r="BF6" s="13">
        <f t="shared" si="4"/>
        <v>0</v>
      </c>
      <c r="BG6" s="13">
        <f t="shared" si="4"/>
        <v>0</v>
      </c>
      <c r="BH6" s="13">
        <f t="shared" si="4"/>
        <v>0</v>
      </c>
      <c r="BI6" s="13">
        <f t="shared" ref="BI6:BT6" si="5">ROUND($AY$6*BI5/$AZ$5,2)</f>
        <v>0</v>
      </c>
      <c r="BJ6" s="13">
        <f t="shared" si="5"/>
        <v>0</v>
      </c>
      <c r="BK6" s="13">
        <f t="shared" si="5"/>
        <v>0</v>
      </c>
      <c r="BL6" s="13">
        <f t="shared" si="5"/>
        <v>117.69</v>
      </c>
      <c r="BM6" s="13">
        <f t="shared" si="5"/>
        <v>0</v>
      </c>
      <c r="BN6" s="13">
        <f t="shared" si="5"/>
        <v>0</v>
      </c>
      <c r="BO6" s="13">
        <f t="shared" si="5"/>
        <v>0</v>
      </c>
      <c r="BP6" s="13">
        <f t="shared" si="5"/>
        <v>0</v>
      </c>
      <c r="BQ6" s="13">
        <f t="shared" si="5"/>
        <v>0</v>
      </c>
      <c r="BR6" s="13">
        <f t="shared" si="5"/>
        <v>117.69</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3388</v>
      </c>
      <c r="J9" s="809"/>
      <c r="K9" s="1602" t="s">
        <v>3389</v>
      </c>
      <c r="L9" s="809"/>
      <c r="M9" s="1602" t="s">
        <v>3388</v>
      </c>
      <c r="N9" s="809"/>
      <c r="O9" s="1602" t="s">
        <v>3389</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t="s">
        <v>673</v>
      </c>
      <c r="L10" s="809"/>
      <c r="M10" s="1608" t="s">
        <v>3338</v>
      </c>
      <c r="N10" s="809"/>
      <c r="O10" s="1608" t="s">
        <v>3338</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3382</v>
      </c>
      <c r="D13" s="1624" t="s">
        <v>3387</v>
      </c>
      <c r="E13" s="13">
        <f>IF($C$3="是",ROUND($A$3*G13/$B$3,2),ROUND($A$3*(G13-AT13)/$B$3,2))</f>
        <v>29521.21</v>
      </c>
      <c r="F13" s="29"/>
      <c r="G13" s="30">
        <f>H13+AC13+AT13</f>
        <v>130211.5</v>
      </c>
      <c r="H13" s="17">
        <f>SUMIF(I$12:AB$12,"总值",I13:AB13)</f>
        <v>115953.51999999999</v>
      </c>
      <c r="I13" s="1625">
        <v>76104.23</v>
      </c>
      <c r="J13" s="1625"/>
      <c r="K13" s="1625">
        <v>19868.53</v>
      </c>
      <c r="L13" s="1625"/>
      <c r="M13" s="1625">
        <v>19980.759999999998</v>
      </c>
      <c r="N13" s="1625"/>
      <c r="O13" s="1625"/>
      <c r="P13" s="1625"/>
      <c r="Q13" s="1625"/>
      <c r="R13" s="1625"/>
      <c r="S13" s="1625"/>
      <c r="T13" s="1625"/>
      <c r="U13" s="1625"/>
      <c r="V13" s="1625"/>
      <c r="W13" s="1625"/>
      <c r="X13" s="1625"/>
      <c r="Y13" s="1625"/>
      <c r="Z13" s="1625"/>
      <c r="AA13" s="1625"/>
      <c r="AB13" s="1625"/>
      <c r="AC13" s="13">
        <f>SUMIF(AD$12:AS$12,"总值",AD13:AS13)</f>
        <v>524.79999999999995</v>
      </c>
      <c r="AD13" s="1626"/>
      <c r="AE13" s="1626"/>
      <c r="AF13" s="1626"/>
      <c r="AG13" s="1626"/>
      <c r="AH13" s="1626"/>
      <c r="AI13" s="1626"/>
      <c r="AJ13" s="1626"/>
      <c r="AK13" s="1626"/>
      <c r="AL13" s="1626"/>
      <c r="AM13" s="1626"/>
      <c r="AN13" s="1626">
        <v>524.79999999999995</v>
      </c>
      <c r="AO13" s="1626"/>
      <c r="AP13" s="1626"/>
      <c r="AQ13" s="1626"/>
      <c r="AR13" s="1626"/>
      <c r="AS13" s="1626"/>
      <c r="AT13" s="1627">
        <v>13733.18</v>
      </c>
      <c r="AU13" s="1628"/>
      <c r="AV13" s="8">
        <f t="shared" ref="AV13:AX17" si="6">A13</f>
        <v>0</v>
      </c>
      <c r="AW13" s="8">
        <f t="shared" si="6"/>
        <v>0</v>
      </c>
      <c r="AX13" s="8" t="str">
        <f t="shared" si="6"/>
        <v>A段</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3383</v>
      </c>
      <c r="D14" s="1624" t="s">
        <v>3387</v>
      </c>
      <c r="E14" s="13">
        <f>IF($C$3="是",ROUND($A$3*G14/$B$3,2),ROUND($A$3*(G14-AT14)/$B$3,2))</f>
        <v>18202.52</v>
      </c>
      <c r="F14" s="29"/>
      <c r="G14" s="30">
        <f>H14+AC14+AT14</f>
        <v>80435.37000000001</v>
      </c>
      <c r="H14" s="17">
        <f>SUMIF(I$12:AB$12,"总值",I14:AB14)</f>
        <v>71819.520000000004</v>
      </c>
      <c r="I14" s="1625">
        <v>45944.11</v>
      </c>
      <c r="J14" s="1625"/>
      <c r="K14" s="1625">
        <v>12645.51</v>
      </c>
      <c r="L14" s="1625"/>
      <c r="M14" s="1625">
        <v>13229.9</v>
      </c>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v>8615.85</v>
      </c>
      <c r="AU14" s="1628"/>
      <c r="AV14" s="8">
        <f t="shared" si="6"/>
        <v>0</v>
      </c>
      <c r="AW14" s="8">
        <f t="shared" si="6"/>
        <v>0</v>
      </c>
      <c r="AX14" s="8" t="str">
        <f t="shared" si="6"/>
        <v>B段</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3384</v>
      </c>
      <c r="D15" s="1624" t="s">
        <v>3387</v>
      </c>
      <c r="E15" s="13">
        <f>IF($C$3="是",ROUND($A$3*G15/$B$3,2),ROUND($A$3*(G15-AT15)/$B$3,2))</f>
        <v>26899.86</v>
      </c>
      <c r="F15" s="29"/>
      <c r="G15" s="30">
        <f>H15+AC15+AT15</f>
        <v>115999.33</v>
      </c>
      <c r="H15" s="17">
        <f>SUMIF(I$12:AB$12,"总值",I15:AB15)</f>
        <v>102137.28</v>
      </c>
      <c r="I15" s="1625">
        <v>65159.15</v>
      </c>
      <c r="J15" s="1625"/>
      <c r="K15" s="1625">
        <v>5155.59</v>
      </c>
      <c r="L15" s="1625"/>
      <c r="M15" s="1625">
        <v>17474.669999999998</v>
      </c>
      <c r="N15" s="1625"/>
      <c r="O15" s="1625">
        <v>14347.87</v>
      </c>
      <c r="P15" s="1625"/>
      <c r="Q15" s="1625"/>
      <c r="R15" s="1625"/>
      <c r="S15" s="1625"/>
      <c r="T15" s="1625"/>
      <c r="U15" s="1625"/>
      <c r="V15" s="1625"/>
      <c r="W15" s="1625"/>
      <c r="X15" s="1625"/>
      <c r="Y15" s="1625"/>
      <c r="Z15" s="1625"/>
      <c r="AA15" s="1625"/>
      <c r="AB15" s="1625"/>
      <c r="AC15" s="13">
        <f>SUMIF(AD$12:AS$12,"总值",AD15:AS15)</f>
        <v>3998.3</v>
      </c>
      <c r="AD15" s="1626"/>
      <c r="AE15" s="1626"/>
      <c r="AF15" s="1626"/>
      <c r="AG15" s="1626"/>
      <c r="AH15" s="1626"/>
      <c r="AI15" s="1626"/>
      <c r="AJ15" s="1626"/>
      <c r="AK15" s="1626"/>
      <c r="AL15" s="1626"/>
      <c r="AM15" s="1626"/>
      <c r="AN15" s="1626">
        <v>3998.3</v>
      </c>
      <c r="AO15" s="1626"/>
      <c r="AP15" s="1626"/>
      <c r="AQ15" s="1626"/>
      <c r="AR15" s="1626"/>
      <c r="AS15" s="1626"/>
      <c r="AT15" s="1627">
        <v>9863.75</v>
      </c>
      <c r="AU15" s="1628"/>
      <c r="AV15" s="8">
        <f t="shared" si="6"/>
        <v>0</v>
      </c>
      <c r="AW15" s="8">
        <f t="shared" si="6"/>
        <v>0</v>
      </c>
      <c r="AX15" s="8" t="str">
        <f t="shared" si="6"/>
        <v>C段</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
        <v>3385</v>
      </c>
      <c r="D16" s="1624" t="s">
        <v>3381</v>
      </c>
      <c r="E16" s="13">
        <f>IF($C$3="是",ROUND($A$3*G16/$B$3,2),ROUND($A$3*(G16-AT16)/$B$3,2))</f>
        <v>28786.06</v>
      </c>
      <c r="F16" s="29"/>
      <c r="G16" s="30">
        <f>H16+AC16+AT16</f>
        <v>127407.46999999999</v>
      </c>
      <c r="H16" s="17">
        <f>SUMIF(I$12:AB$12,"总值",I16:AB16)</f>
        <v>113113.4</v>
      </c>
      <c r="I16" s="1625">
        <v>73097.53</v>
      </c>
      <c r="J16" s="1625"/>
      <c r="K16" s="1625">
        <v>2043.26</v>
      </c>
      <c r="L16" s="1625"/>
      <c r="M16" s="1625">
        <v>19946.77</v>
      </c>
      <c r="N16" s="1625"/>
      <c r="O16" s="1625">
        <v>18025.84</v>
      </c>
      <c r="P16" s="1625"/>
      <c r="Q16" s="1625"/>
      <c r="R16" s="1625"/>
      <c r="S16" s="1625"/>
      <c r="T16" s="1625"/>
      <c r="U16" s="1625"/>
      <c r="V16" s="1625"/>
      <c r="W16" s="1625"/>
      <c r="X16" s="1625"/>
      <c r="Y16" s="1625"/>
      <c r="Z16" s="1625"/>
      <c r="AA16" s="1625"/>
      <c r="AB16" s="1625"/>
      <c r="AC16" s="13">
        <f>SUMIF(AD$12:AS$12,"总值",AD16:AS16)</f>
        <v>464.34</v>
      </c>
      <c r="AD16" s="1626"/>
      <c r="AE16" s="1626"/>
      <c r="AF16" s="1626"/>
      <c r="AG16" s="1626"/>
      <c r="AH16" s="1626"/>
      <c r="AI16" s="1626"/>
      <c r="AJ16" s="1626"/>
      <c r="AK16" s="1626"/>
      <c r="AL16" s="1626"/>
      <c r="AM16" s="1626"/>
      <c r="AN16" s="1626">
        <v>464.34</v>
      </c>
      <c r="AO16" s="1626"/>
      <c r="AP16" s="1626"/>
      <c r="AQ16" s="1626"/>
      <c r="AR16" s="1626"/>
      <c r="AS16" s="1626"/>
      <c r="AT16" s="1627">
        <v>13829.73</v>
      </c>
      <c r="AU16" s="1628"/>
      <c r="AV16" s="8">
        <f t="shared" si="6"/>
        <v>0</v>
      </c>
      <c r="AW16" s="8">
        <f t="shared" si="6"/>
        <v>0</v>
      </c>
      <c r="AX16" s="8" t="str">
        <f t="shared" si="6"/>
        <v>D段</v>
      </c>
      <c r="AY16" s="1348">
        <f>ROUND($AY$6*AZ16/$AZ$5,2)</f>
        <v>28786.06</v>
      </c>
      <c r="AZ16" s="13">
        <f>BA16+BL16</f>
        <v>113577.73999999999</v>
      </c>
      <c r="BA16" s="13">
        <f>SUM(BB16:BK16)</f>
        <v>113113.4</v>
      </c>
      <c r="BB16" s="13">
        <f>IF($D16="是",I16-J16,0)</f>
        <v>73097.53</v>
      </c>
      <c r="BC16" s="13">
        <f>IF($D16="是",K16-L16,0)</f>
        <v>2043.26</v>
      </c>
      <c r="BD16" s="13">
        <f>IF($D16="是",M16-N16,0)</f>
        <v>19946.77</v>
      </c>
      <c r="BE16" s="13">
        <f>IF($D16="是",O16-P16,0)</f>
        <v>18025.84</v>
      </c>
      <c r="BF16" s="13">
        <f>IF($D16="是",Q16-R16,0)</f>
        <v>0</v>
      </c>
      <c r="BG16" s="13">
        <f>IF($D16="是",S16-T16,0)</f>
        <v>0</v>
      </c>
      <c r="BH16" s="13">
        <f>IF($D16="是",U16-V16,0)</f>
        <v>0</v>
      </c>
      <c r="BI16" s="13">
        <f>IF($D16="是",W16-X16,0)</f>
        <v>0</v>
      </c>
      <c r="BJ16" s="13">
        <f>IF($D16="是",Y16-Z16,0)</f>
        <v>0</v>
      </c>
      <c r="BK16" s="13">
        <f>IF($D16="是",AA16-AB16,0)</f>
        <v>0</v>
      </c>
      <c r="BL16" s="13">
        <f>SUM(BM16:BT16)</f>
        <v>464.34</v>
      </c>
      <c r="BM16" s="13">
        <f>IF($D16="是",AD16-AE16,0)</f>
        <v>0</v>
      </c>
      <c r="BN16" s="13">
        <f>IF($D16="是",AF16-AG16,0)</f>
        <v>0</v>
      </c>
      <c r="BO16" s="13">
        <f>IF($D16="是",AH16-AI16,0)</f>
        <v>0</v>
      </c>
      <c r="BP16" s="13">
        <f>IF($D16="是",AJ16-AK16,0)</f>
        <v>0</v>
      </c>
      <c r="BQ16" s="13">
        <f>IF($D16="是",AL16-AM16,0)</f>
        <v>0</v>
      </c>
      <c r="BR16" s="13">
        <f>IF($D16="是",AN16-AO16,0)</f>
        <v>464.34</v>
      </c>
      <c r="BS16" s="13">
        <f>IF($D16="是",AP16-AQ16,0)</f>
        <v>0</v>
      </c>
      <c r="BT16" s="19">
        <f>IF($D16="是",AR16-AS16,0)</f>
        <v>0</v>
      </c>
    </row>
    <row r="17" spans="1:72" s="1578" customFormat="1" ht="12.75">
      <c r="A17" s="1051"/>
      <c r="B17" s="1051"/>
      <c r="C17" s="1569" t="s">
        <v>3386</v>
      </c>
      <c r="D17" s="1624" t="s">
        <v>3381</v>
      </c>
      <c r="E17" s="13">
        <f>IF($C$3="是",ROUND($A$3*G17/$B$3,2),ROUND($A$3*(G17-AT17)/$B$3,2))</f>
        <v>21901.51</v>
      </c>
      <c r="F17" s="29"/>
      <c r="G17" s="30">
        <f>H17+AC17+AT17</f>
        <v>97895.86</v>
      </c>
      <c r="H17" s="17">
        <f>SUMIF(I$12:AB$12,"总值",I17:AB17)</f>
        <v>86414.19</v>
      </c>
      <c r="I17" s="1625">
        <v>58906.76</v>
      </c>
      <c r="J17" s="1625"/>
      <c r="K17" s="1625">
        <v>12062.58</v>
      </c>
      <c r="L17" s="1625"/>
      <c r="M17" s="1625">
        <v>15444.85</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v>11481.67</v>
      </c>
      <c r="AU17" s="1628"/>
      <c r="AV17" s="8">
        <f t="shared" si="6"/>
        <v>0</v>
      </c>
      <c r="AW17" s="8">
        <f t="shared" si="6"/>
        <v>0</v>
      </c>
      <c r="AX17" s="8" t="str">
        <f t="shared" si="6"/>
        <v>E段</v>
      </c>
      <c r="AY17" s="1348">
        <f>ROUND($AY$6*AZ17/$AZ$5,2)</f>
        <v>21901.51</v>
      </c>
      <c r="AZ17" s="13">
        <f>BA17+BL17</f>
        <v>86414.19</v>
      </c>
      <c r="BA17" s="13">
        <f>SUM(BB17:BK17)</f>
        <v>86414.19</v>
      </c>
      <c r="BB17" s="13">
        <f>IF($D17="是",I17-J17,0)</f>
        <v>58906.76</v>
      </c>
      <c r="BC17" s="13">
        <f>IF($D17="是",K17-L17,0)</f>
        <v>12062.58</v>
      </c>
      <c r="BD17" s="13">
        <f>IF($D17="是",M17-N17,0)</f>
        <v>15444.85</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K49"/>
  <sheetViews>
    <sheetView workbookViewId="0">
      <selection activeCell="J52" sqref="J52"/>
    </sheetView>
  </sheetViews>
  <sheetFormatPr defaultColWidth="8.625" defaultRowHeight="13.5"/>
  <cols>
    <col min="1" max="1" width="11.125" style="3472" customWidth="1"/>
    <col min="2" max="2" width="11.625" style="3471" customWidth="1"/>
    <col min="3" max="8" width="14.375" style="3473" customWidth="1"/>
    <col min="9" max="9" width="23" style="3471" customWidth="1"/>
    <col min="10" max="10" width="18.25" style="3471" customWidth="1"/>
    <col min="11" max="11" width="21.75" style="3471" customWidth="1"/>
    <col min="12" max="16384" width="8.625" style="3471"/>
  </cols>
  <sheetData>
    <row r="1" spans="1:9" ht="14.25">
      <c r="A1" s="3574" t="s">
        <v>3390</v>
      </c>
      <c r="B1" s="3574"/>
      <c r="C1" s="3574"/>
      <c r="D1" s="3574"/>
      <c r="E1" s="3574"/>
      <c r="F1" s="3574"/>
      <c r="G1" s="3574"/>
      <c r="H1" s="3574"/>
    </row>
    <row r="2" spans="1:9" ht="14.25">
      <c r="H2" s="3474" t="s">
        <v>3391</v>
      </c>
    </row>
    <row r="3" spans="1:9">
      <c r="A3" s="3475" t="s">
        <v>3392</v>
      </c>
      <c r="B3" s="3476" t="s">
        <v>3393</v>
      </c>
      <c r="C3" s="3477" t="s">
        <v>3394</v>
      </c>
      <c r="D3" s="3477" t="s">
        <v>3395</v>
      </c>
      <c r="E3" s="3477" t="s">
        <v>3396</v>
      </c>
      <c r="F3" s="3477" t="s">
        <v>3397</v>
      </c>
      <c r="G3" s="3477" t="s">
        <v>3398</v>
      </c>
      <c r="H3" s="3477" t="s">
        <v>3399</v>
      </c>
    </row>
    <row r="4" spans="1:9" ht="14.25" hidden="1">
      <c r="A4" s="3478" t="s">
        <v>3400</v>
      </c>
      <c r="B4" s="3476" t="s">
        <v>3401</v>
      </c>
      <c r="C4" s="3479"/>
      <c r="D4" s="3479"/>
      <c r="E4" s="3479">
        <v>3854.1</v>
      </c>
      <c r="F4" s="3479">
        <v>464.34</v>
      </c>
      <c r="G4" s="3479"/>
      <c r="H4" s="3479">
        <f t="shared" ref="H4:H24" si="0">SUM(C4:G4)</f>
        <v>4318.4399999999996</v>
      </c>
    </row>
    <row r="5" spans="1:9" ht="14.25" hidden="1">
      <c r="A5" s="3478" t="s">
        <v>3400</v>
      </c>
      <c r="B5" s="3476" t="s">
        <v>3402</v>
      </c>
      <c r="C5" s="3479">
        <v>13733.18</v>
      </c>
      <c r="D5" s="3479">
        <v>8615.85</v>
      </c>
      <c r="E5" s="3479">
        <v>9863.75</v>
      </c>
      <c r="F5" s="3479">
        <v>13829.73</v>
      </c>
      <c r="G5" s="3479">
        <v>11481.67</v>
      </c>
      <c r="H5" s="3479">
        <f t="shared" si="0"/>
        <v>57524.179999999993</v>
      </c>
      <c r="I5" s="3480"/>
    </row>
    <row r="6" spans="1:9" ht="14.25" hidden="1">
      <c r="A6" s="3478" t="s">
        <v>3403</v>
      </c>
      <c r="B6" s="3476" t="s">
        <v>3401</v>
      </c>
      <c r="C6" s="3479">
        <v>524.79999999999995</v>
      </c>
      <c r="D6" s="3479"/>
      <c r="E6" s="3479">
        <v>134.19999999999999</v>
      </c>
      <c r="F6" s="3479"/>
      <c r="G6" s="3479"/>
      <c r="H6" s="3479">
        <f t="shared" si="0"/>
        <v>659</v>
      </c>
    </row>
    <row r="7" spans="1:9" ht="14.25">
      <c r="A7" s="3478" t="s">
        <v>3403</v>
      </c>
      <c r="B7" s="3476" t="s">
        <v>3404</v>
      </c>
      <c r="C7" s="3481">
        <v>19868.53</v>
      </c>
      <c r="D7" s="3479">
        <v>12645.51</v>
      </c>
      <c r="E7" s="3479">
        <v>5155.59</v>
      </c>
      <c r="F7" s="3479">
        <v>2043.26</v>
      </c>
      <c r="G7" s="3479">
        <v>12062.58</v>
      </c>
      <c r="H7" s="3479">
        <f t="shared" si="0"/>
        <v>51775.470000000008</v>
      </c>
    </row>
    <row r="8" spans="1:9" ht="14.25" hidden="1">
      <c r="A8" s="3478" t="s">
        <v>3403</v>
      </c>
      <c r="B8" s="3476" t="s">
        <v>3405</v>
      </c>
      <c r="C8" s="3479"/>
      <c r="D8" s="3479"/>
      <c r="E8" s="3479">
        <v>14347.87</v>
      </c>
      <c r="F8" s="3479">
        <v>18025.84</v>
      </c>
      <c r="G8" s="3479"/>
      <c r="H8" s="3479">
        <f t="shared" si="0"/>
        <v>32373.71</v>
      </c>
      <c r="I8" s="3482"/>
    </row>
    <row r="9" spans="1:9" ht="14.25">
      <c r="A9" s="3478" t="s">
        <v>3406</v>
      </c>
      <c r="B9" s="3476" t="s">
        <v>3404</v>
      </c>
      <c r="C9" s="3481">
        <v>13833.09</v>
      </c>
      <c r="D9" s="3479">
        <v>8752.7999999999993</v>
      </c>
      <c r="E9" s="3479">
        <v>10747.17</v>
      </c>
      <c r="F9" s="3479">
        <v>13963.03</v>
      </c>
      <c r="G9" s="3479">
        <v>11353.66</v>
      </c>
      <c r="H9" s="3479">
        <f t="shared" si="0"/>
        <v>58649.75</v>
      </c>
    </row>
    <row r="10" spans="1:9" ht="14.25" hidden="1">
      <c r="A10" s="3478" t="s">
        <v>3406</v>
      </c>
      <c r="B10" s="3476" t="s">
        <v>3405</v>
      </c>
      <c r="C10" s="3479">
        <v>606.1</v>
      </c>
      <c r="D10" s="3479">
        <v>213.41</v>
      </c>
      <c r="E10" s="3479"/>
      <c r="F10" s="3479">
        <v>209.81</v>
      </c>
      <c r="G10" s="3479">
        <v>608.14</v>
      </c>
      <c r="H10" s="3479">
        <f t="shared" si="0"/>
        <v>1637.46</v>
      </c>
    </row>
    <row r="11" spans="1:9" ht="14.25" hidden="1">
      <c r="A11" s="3478" t="s">
        <v>3407</v>
      </c>
      <c r="B11" s="3476" t="s">
        <v>3405</v>
      </c>
      <c r="C11" s="3479">
        <v>2767.91</v>
      </c>
      <c r="D11" s="3479">
        <v>1859.51</v>
      </c>
      <c r="E11" s="3479">
        <v>1956.18</v>
      </c>
      <c r="F11" s="3479">
        <v>2819.63</v>
      </c>
      <c r="G11" s="3479">
        <v>2119.52</v>
      </c>
      <c r="H11" s="3479">
        <f t="shared" si="0"/>
        <v>11522.75</v>
      </c>
    </row>
    <row r="12" spans="1:9" ht="14.25">
      <c r="A12" s="3478" t="s">
        <v>3408</v>
      </c>
      <c r="B12" s="3476" t="s">
        <v>3404</v>
      </c>
      <c r="C12" s="3481">
        <v>11588.06</v>
      </c>
      <c r="D12" s="3479">
        <v>7154.41</v>
      </c>
      <c r="E12" s="3479">
        <v>10760.54</v>
      </c>
      <c r="F12" s="3479">
        <v>11564.27</v>
      </c>
      <c r="G12" s="3479">
        <v>9763.9599999999991</v>
      </c>
      <c r="H12" s="3479">
        <f t="shared" si="0"/>
        <v>50831.24</v>
      </c>
    </row>
    <row r="13" spans="1:9" ht="14.25" hidden="1">
      <c r="A13" s="3478" t="s">
        <v>3408</v>
      </c>
      <c r="B13" s="3476" t="s">
        <v>3405</v>
      </c>
      <c r="C13" s="3479">
        <v>2767.38</v>
      </c>
      <c r="D13" s="3479">
        <v>1859.47</v>
      </c>
      <c r="E13" s="3479">
        <v>2586.37</v>
      </c>
      <c r="F13" s="3479">
        <v>2819.46</v>
      </c>
      <c r="G13" s="3479">
        <v>2119.67</v>
      </c>
      <c r="H13" s="3479">
        <f t="shared" si="0"/>
        <v>12152.35</v>
      </c>
    </row>
    <row r="14" spans="1:9" ht="14.25" hidden="1">
      <c r="A14" s="3478" t="s">
        <v>3409</v>
      </c>
      <c r="B14" s="3476" t="s">
        <v>3405</v>
      </c>
      <c r="C14" s="3479">
        <v>2767.91</v>
      </c>
      <c r="D14" s="3479">
        <v>1857.51</v>
      </c>
      <c r="E14" s="3479">
        <v>2586.44</v>
      </c>
      <c r="F14" s="3479">
        <v>2819.63</v>
      </c>
      <c r="G14" s="3479">
        <v>2119.52</v>
      </c>
      <c r="H14" s="3479">
        <f t="shared" si="0"/>
        <v>12151.010000000002</v>
      </c>
    </row>
    <row r="15" spans="1:9" ht="14.25">
      <c r="A15" s="3478" t="s">
        <v>3410</v>
      </c>
      <c r="B15" s="3476" t="s">
        <v>3404</v>
      </c>
      <c r="C15" s="3481">
        <v>11540.83</v>
      </c>
      <c r="D15" s="3479">
        <v>7147.74</v>
      </c>
      <c r="E15" s="3479">
        <v>10737.21</v>
      </c>
      <c r="F15" s="3479">
        <v>11548.19</v>
      </c>
      <c r="G15" s="3479">
        <v>9764.58</v>
      </c>
      <c r="H15" s="3479">
        <f t="shared" si="0"/>
        <v>50738.55</v>
      </c>
    </row>
    <row r="16" spans="1:9" ht="14.25" hidden="1">
      <c r="A16" s="3478" t="s">
        <v>3410</v>
      </c>
      <c r="B16" s="3476" t="s">
        <v>3405</v>
      </c>
      <c r="C16" s="3479">
        <v>2767.82</v>
      </c>
      <c r="D16" s="3479">
        <v>1859.49</v>
      </c>
      <c r="E16" s="3479">
        <v>2586.4</v>
      </c>
      <c r="F16" s="3479">
        <v>2819.49</v>
      </c>
      <c r="G16" s="3479">
        <v>2119.48</v>
      </c>
      <c r="H16" s="3479">
        <f t="shared" si="0"/>
        <v>12152.68</v>
      </c>
      <c r="I16" s="3482"/>
    </row>
    <row r="17" spans="1:9" ht="14.25" hidden="1">
      <c r="A17" s="3478" t="s">
        <v>3411</v>
      </c>
      <c r="B17" s="3476" t="s">
        <v>3405</v>
      </c>
      <c r="C17" s="3479">
        <v>2767.91</v>
      </c>
      <c r="D17" s="3479">
        <v>1859.51</v>
      </c>
      <c r="E17" s="3479">
        <v>2586.44</v>
      </c>
      <c r="F17" s="3479">
        <v>2819.63</v>
      </c>
      <c r="G17" s="3479">
        <v>2119.52</v>
      </c>
      <c r="H17" s="3479">
        <f t="shared" si="0"/>
        <v>12153.010000000002</v>
      </c>
    </row>
    <row r="18" spans="1:9" ht="14.25">
      <c r="A18" s="3478" t="s">
        <v>3412</v>
      </c>
      <c r="B18" s="3476" t="s">
        <v>3404</v>
      </c>
      <c r="C18" s="3481">
        <v>11540.83</v>
      </c>
      <c r="D18" s="3479">
        <v>7147.74</v>
      </c>
      <c r="E18" s="3479">
        <v>10737.21</v>
      </c>
      <c r="F18" s="3479">
        <v>11548.19</v>
      </c>
      <c r="G18" s="3479">
        <v>9764.58</v>
      </c>
      <c r="H18" s="3479">
        <f t="shared" si="0"/>
        <v>50738.55</v>
      </c>
    </row>
    <row r="19" spans="1:9" ht="14.25" hidden="1">
      <c r="A19" s="3478" t="s">
        <v>3412</v>
      </c>
      <c r="B19" s="3476" t="s">
        <v>3405</v>
      </c>
      <c r="C19" s="3479">
        <v>2767.82</v>
      </c>
      <c r="D19" s="3479">
        <v>1859.49</v>
      </c>
      <c r="E19" s="3479">
        <v>2586.4</v>
      </c>
      <c r="F19" s="3479">
        <v>2819.49</v>
      </c>
      <c r="G19" s="3479">
        <v>2119.48</v>
      </c>
      <c r="H19" s="3479">
        <f t="shared" si="0"/>
        <v>12152.68</v>
      </c>
      <c r="I19" s="3482"/>
    </row>
    <row r="20" spans="1:9" ht="14.25" hidden="1">
      <c r="A20" s="3478" t="s">
        <v>3413</v>
      </c>
      <c r="B20" s="3476" t="s">
        <v>3405</v>
      </c>
      <c r="C20" s="3479">
        <v>2767.91</v>
      </c>
      <c r="D20" s="3479">
        <v>1859.51</v>
      </c>
      <c r="E20" s="3479">
        <v>2586.44</v>
      </c>
      <c r="F20" s="3479">
        <v>2819.63</v>
      </c>
      <c r="G20" s="3479">
        <v>2119.52</v>
      </c>
      <c r="H20" s="3479">
        <f t="shared" si="0"/>
        <v>12153.010000000002</v>
      </c>
    </row>
    <row r="21" spans="1:9" ht="14.25">
      <c r="A21" s="3478" t="s">
        <v>3414</v>
      </c>
      <c r="B21" s="3476" t="s">
        <v>3404</v>
      </c>
      <c r="C21" s="3481">
        <v>14779.26</v>
      </c>
      <c r="D21" s="3479">
        <v>9210.1200000000008</v>
      </c>
      <c r="E21" s="3479">
        <v>13660.62</v>
      </c>
      <c r="F21" s="3479">
        <v>14420.67</v>
      </c>
      <c r="G21" s="3479">
        <v>11805.62</v>
      </c>
      <c r="H21" s="3479">
        <f t="shared" si="0"/>
        <v>63876.29</v>
      </c>
    </row>
    <row r="22" spans="1:9" ht="14.25">
      <c r="A22" s="3478" t="s">
        <v>3415</v>
      </c>
      <c r="B22" s="3476" t="s">
        <v>3404</v>
      </c>
      <c r="C22" s="3481">
        <v>2898.76</v>
      </c>
      <c r="D22" s="3479">
        <v>1895.13</v>
      </c>
      <c r="E22" s="3479">
        <v>2586.44</v>
      </c>
      <c r="F22" s="3479">
        <v>2597.5700000000002</v>
      </c>
      <c r="G22" s="3479">
        <v>1711.39</v>
      </c>
      <c r="H22" s="3479">
        <f t="shared" si="0"/>
        <v>11689.289999999999</v>
      </c>
      <c r="I22" s="3482"/>
    </row>
    <row r="23" spans="1:9" ht="14.25">
      <c r="A23" s="3478" t="s">
        <v>3416</v>
      </c>
      <c r="B23" s="3476" t="s">
        <v>3404</v>
      </c>
      <c r="C23" s="3481">
        <v>9015.0300000000007</v>
      </c>
      <c r="D23" s="3479">
        <v>4334.84</v>
      </c>
      <c r="E23" s="3479">
        <v>5116.0600000000004</v>
      </c>
      <c r="F23" s="3479">
        <v>6764.28</v>
      </c>
      <c r="G23" s="3479">
        <v>4286.62</v>
      </c>
      <c r="H23" s="3479">
        <f t="shared" si="0"/>
        <v>29516.829999999998</v>
      </c>
    </row>
    <row r="24" spans="1:9" ht="14.25">
      <c r="A24" s="3478" t="s">
        <v>3417</v>
      </c>
      <c r="B24" s="3476" t="s">
        <v>3404</v>
      </c>
      <c r="C24" s="3481">
        <v>908.37</v>
      </c>
      <c r="D24" s="3479">
        <v>301.33</v>
      </c>
      <c r="E24" s="3479">
        <v>823.9</v>
      </c>
      <c r="F24" s="3479">
        <v>691.33</v>
      </c>
      <c r="G24" s="3479">
        <v>456.35</v>
      </c>
      <c r="H24" s="3479">
        <f t="shared" si="0"/>
        <v>3181.2799999999997</v>
      </c>
    </row>
    <row r="25" spans="1:9" ht="14.25" hidden="1">
      <c r="A25" s="3478" t="s">
        <v>3399</v>
      </c>
      <c r="B25" s="3476"/>
      <c r="C25" s="3479">
        <f>SUM(C4:C24)</f>
        <v>130211.5</v>
      </c>
      <c r="D25" s="3479">
        <f t="shared" ref="D25:H25" si="1">SUM(D4:D24)</f>
        <v>80433.37</v>
      </c>
      <c r="E25" s="3479">
        <f t="shared" si="1"/>
        <v>115999.32999999999</v>
      </c>
      <c r="F25" s="3479">
        <f t="shared" si="1"/>
        <v>127407.47000000003</v>
      </c>
      <c r="G25" s="3479">
        <f t="shared" si="1"/>
        <v>97895.86</v>
      </c>
      <c r="H25" s="3479">
        <f t="shared" si="1"/>
        <v>551947.52999999991</v>
      </c>
      <c r="I25" s="3482">
        <f>H7+H9+H12+H15+H18+H21+H22+H23+H24</f>
        <v>370997.25</v>
      </c>
    </row>
    <row r="26" spans="1:9" hidden="1">
      <c r="H26" s="3473" t="s">
        <v>3399</v>
      </c>
    </row>
    <row r="27" spans="1:9" ht="14.25">
      <c r="B27" s="3483" t="s">
        <v>3404</v>
      </c>
      <c r="C27" s="3484">
        <f>C7+C9+C12+C15+C18+C21+C22+C23+C24</f>
        <v>95972.75999999998</v>
      </c>
      <c r="D27" s="3484">
        <f>D7+D9+D12+D15+D18+D21+D22+D23+D24</f>
        <v>58589.619999999995</v>
      </c>
      <c r="E27" s="3484">
        <f t="shared" ref="E27:G27" si="2">E7+E9+E12+E15+E18+E21+E22+E23+E24</f>
        <v>70324.740000000005</v>
      </c>
      <c r="F27" s="3484">
        <f t="shared" si="2"/>
        <v>75140.790000000008</v>
      </c>
      <c r="G27" s="3484">
        <f t="shared" si="2"/>
        <v>70969.340000000011</v>
      </c>
      <c r="H27" s="3484">
        <f>G27+F27+E27+D27+C27</f>
        <v>370997.25</v>
      </c>
    </row>
    <row r="28" spans="1:9" ht="14.25" hidden="1">
      <c r="B28" s="3483" t="s">
        <v>3418</v>
      </c>
      <c r="C28" s="3484">
        <f>C10+C11+C13+C14+C16+C17+C20+C19</f>
        <v>19980.759999999998</v>
      </c>
      <c r="D28" s="3484">
        <f>D10+D11+D13+D14+D16+D17+D19+D20</f>
        <v>13227.9</v>
      </c>
      <c r="E28" s="3484">
        <f>E8+E11+E13+E14+E16+E17+E19+E20</f>
        <v>31822.54</v>
      </c>
      <c r="F28" s="3484">
        <f>F8+F11+F13+F14+F16+F17+F19+F20+F10</f>
        <v>37972.61</v>
      </c>
      <c r="G28" s="3484">
        <f t="shared" ref="G28:H28" si="3">G8+G11+G13+G14+G16+G17+G19+G20+G10</f>
        <v>15444.85</v>
      </c>
      <c r="H28" s="3484">
        <f t="shared" si="3"/>
        <v>118448.66000000002</v>
      </c>
    </row>
    <row r="29" spans="1:9" ht="14.25" hidden="1">
      <c r="B29" s="3483" t="s">
        <v>3419</v>
      </c>
      <c r="C29" s="3484">
        <f>C6</f>
        <v>524.79999999999995</v>
      </c>
      <c r="D29" s="3484">
        <f>D6</f>
        <v>0</v>
      </c>
      <c r="E29" s="3485">
        <f>E4+E6</f>
        <v>3988.2999999999997</v>
      </c>
      <c r="F29" s="3484">
        <f>F4</f>
        <v>464.34</v>
      </c>
      <c r="G29" s="3484"/>
      <c r="H29" s="3484"/>
    </row>
    <row r="30" spans="1:9" ht="14.25" hidden="1">
      <c r="B30" s="3483" t="s">
        <v>3420</v>
      </c>
      <c r="C30" s="3484">
        <f>C5</f>
        <v>13733.18</v>
      </c>
      <c r="D30" s="3484">
        <f>D5</f>
        <v>8615.85</v>
      </c>
      <c r="E30" s="3484">
        <f t="shared" ref="E30:G30" si="4">E5</f>
        <v>9863.75</v>
      </c>
      <c r="F30" s="3484">
        <f t="shared" si="4"/>
        <v>13829.73</v>
      </c>
      <c r="G30" s="3484">
        <f t="shared" si="4"/>
        <v>11481.67</v>
      </c>
      <c r="H30" s="3484"/>
    </row>
    <row r="31" spans="1:9" hidden="1">
      <c r="B31" s="3486" t="s">
        <v>3399</v>
      </c>
      <c r="C31" s="3484">
        <f>C30+C29+C28+C27</f>
        <v>130211.49999999997</v>
      </c>
      <c r="D31" s="3484">
        <f t="shared" ref="D31:G31" si="5">D30+D29+D28+D27</f>
        <v>80433.37</v>
      </c>
      <c r="E31" s="3484">
        <f t="shared" si="5"/>
        <v>115999.33</v>
      </c>
      <c r="F31" s="3484">
        <f t="shared" si="5"/>
        <v>127407.47</v>
      </c>
      <c r="G31" s="3484">
        <f t="shared" si="5"/>
        <v>97895.860000000015</v>
      </c>
      <c r="H31" s="3484"/>
    </row>
    <row r="32" spans="1:9" ht="14.25" hidden="1">
      <c r="B32" s="3483" t="s">
        <v>3421</v>
      </c>
      <c r="C32" s="3484"/>
      <c r="D32" s="3484"/>
      <c r="E32" s="3484">
        <f>E8</f>
        <v>14347.87</v>
      </c>
      <c r="F32" s="3484">
        <f>F8</f>
        <v>18025.84</v>
      </c>
      <c r="G32" s="3484"/>
      <c r="H32" s="3484">
        <f>F32+E32</f>
        <v>32373.71</v>
      </c>
    </row>
    <row r="33" spans="2:11" s="3471" customFormat="1" ht="14.25" hidden="1">
      <c r="B33" s="3483" t="s">
        <v>3422</v>
      </c>
      <c r="C33" s="3484">
        <f>C20+C19+C17+C16+C14+C13+C11+C10</f>
        <v>19980.759999999998</v>
      </c>
      <c r="D33" s="3485">
        <f t="shared" ref="D33:G33" si="6">D20+D19+D17+D16+D14+D13+D11+D10</f>
        <v>13227.9</v>
      </c>
      <c r="E33" s="3484">
        <f t="shared" si="6"/>
        <v>17474.670000000002</v>
      </c>
      <c r="F33" s="3484">
        <f t="shared" si="6"/>
        <v>19946.77</v>
      </c>
      <c r="G33" s="3484">
        <f t="shared" si="6"/>
        <v>15444.85</v>
      </c>
      <c r="H33" s="3484">
        <f>H28-H32</f>
        <v>86074.950000000012</v>
      </c>
    </row>
    <row r="34" spans="2:11" s="3471" customFormat="1" ht="14.25">
      <c r="B34" s="3486" t="s">
        <v>3423</v>
      </c>
      <c r="C34" s="3484">
        <f>C9+C12+C15+C18+C21+C22+C23+C24</f>
        <v>76104.23</v>
      </c>
      <c r="D34" s="3484">
        <f>D9+D12+D15+D18+D21+D22+D23+D24</f>
        <v>45944.11</v>
      </c>
      <c r="E34" s="3485">
        <f t="shared" ref="E34:G34" si="7">E9+E12+E15+E18+E21+E22+E23+E24</f>
        <v>65169.15</v>
      </c>
      <c r="F34" s="3484">
        <f t="shared" si="7"/>
        <v>73097.530000000013</v>
      </c>
      <c r="G34" s="3484">
        <f t="shared" si="7"/>
        <v>58906.76</v>
      </c>
      <c r="H34" s="3484"/>
      <c r="I34" s="3487" t="s">
        <v>3424</v>
      </c>
      <c r="J34" s="3482">
        <f>H9+H10+H11+H12+H13+H14+H15+H16+H17+H18+H19+H20+H21+H22+H23+H24</f>
        <v>405296.73</v>
      </c>
    </row>
    <row r="35" spans="2:11" s="3471" customFormat="1">
      <c r="B35" s="3486" t="s">
        <v>3425</v>
      </c>
      <c r="C35" s="3484">
        <f>C7</f>
        <v>19868.53</v>
      </c>
      <c r="D35" s="3484">
        <f t="shared" ref="D35:G35" si="8">D7</f>
        <v>12645.51</v>
      </c>
      <c r="E35" s="3484">
        <f t="shared" si="8"/>
        <v>5155.59</v>
      </c>
      <c r="F35" s="3484">
        <f t="shared" si="8"/>
        <v>2043.26</v>
      </c>
      <c r="G35" s="3484">
        <f t="shared" si="8"/>
        <v>12062.58</v>
      </c>
      <c r="H35" s="3484"/>
    </row>
    <row r="37" spans="2:11" s="3471" customFormat="1" ht="14.25">
      <c r="C37" s="3473"/>
      <c r="D37" s="3473"/>
      <c r="E37" s="3473"/>
      <c r="F37" s="3473"/>
      <c r="G37" s="3474" t="s">
        <v>3426</v>
      </c>
      <c r="H37" s="3473">
        <v>125311.16</v>
      </c>
      <c r="I37" s="3487" t="s">
        <v>3427</v>
      </c>
      <c r="J37" s="3471">
        <f>ROUND(H33/J34*H37,2)</f>
        <v>26612.98</v>
      </c>
    </row>
    <row r="41" spans="2:11" s="3471" customFormat="1">
      <c r="C41" s="3484"/>
      <c r="D41" s="3484" t="s">
        <v>3423</v>
      </c>
      <c r="E41" s="3484" t="s">
        <v>3425</v>
      </c>
      <c r="F41" s="3484" t="s">
        <v>3422</v>
      </c>
      <c r="G41" s="3484" t="s">
        <v>3421</v>
      </c>
      <c r="H41" s="3484" t="s">
        <v>3401</v>
      </c>
      <c r="I41" s="3486" t="s">
        <v>3402</v>
      </c>
      <c r="J41" s="3486" t="s">
        <v>3428</v>
      </c>
      <c r="K41" s="3486" t="s">
        <v>3429</v>
      </c>
    </row>
    <row r="42" spans="2:11" s="3471" customFormat="1">
      <c r="C42" s="3484" t="s">
        <v>3430</v>
      </c>
      <c r="D42" s="3484">
        <v>76104.23</v>
      </c>
      <c r="E42" s="3484">
        <v>19868.53</v>
      </c>
      <c r="F42" s="3484">
        <v>19980.759999999998</v>
      </c>
      <c r="G42" s="3484"/>
      <c r="H42" s="3484">
        <v>524.79999999999995</v>
      </c>
      <c r="I42" s="3486">
        <v>13733.18</v>
      </c>
      <c r="J42" s="3488">
        <f>D42+E42+F42+G42+H42</f>
        <v>116478.31999999999</v>
      </c>
      <c r="K42" s="3488">
        <f>D42+E42+F42+G42+H42+I42</f>
        <v>130211.5</v>
      </c>
    </row>
    <row r="43" spans="2:11" s="3471" customFormat="1">
      <c r="C43" s="3484" t="s">
        <v>3431</v>
      </c>
      <c r="D43" s="3484">
        <v>45944.11</v>
      </c>
      <c r="E43" s="3484">
        <v>12645.51</v>
      </c>
      <c r="F43" s="3485">
        <v>13229.9</v>
      </c>
      <c r="G43" s="3484"/>
      <c r="H43" s="3484"/>
      <c r="I43" s="3486">
        <v>8615.85</v>
      </c>
      <c r="J43" s="3488">
        <f t="shared" ref="J43:J47" si="9">D43+E43+F43+G43+H43</f>
        <v>71819.520000000004</v>
      </c>
      <c r="K43" s="3488">
        <f t="shared" ref="K43:K47" si="10">D43+E43+F43+G43+H43+I43</f>
        <v>80435.37000000001</v>
      </c>
    </row>
    <row r="44" spans="2:11" s="3471" customFormat="1">
      <c r="C44" s="3484" t="s">
        <v>3432</v>
      </c>
      <c r="D44" s="3485">
        <v>65159.15</v>
      </c>
      <c r="E44" s="3484">
        <v>5155.59</v>
      </c>
      <c r="F44" s="3484">
        <v>17474.669999999998</v>
      </c>
      <c r="G44" s="3484">
        <v>14347.87</v>
      </c>
      <c r="H44" s="3485">
        <v>3998.3</v>
      </c>
      <c r="I44" s="3486">
        <v>9863.75</v>
      </c>
      <c r="J44" s="3488">
        <f t="shared" si="9"/>
        <v>106135.58</v>
      </c>
      <c r="K44" s="3488">
        <f t="shared" si="10"/>
        <v>115999.33</v>
      </c>
    </row>
    <row r="45" spans="2:11" s="3471" customFormat="1">
      <c r="C45" s="3484" t="s">
        <v>3433</v>
      </c>
      <c r="D45" s="3484">
        <v>73097.53</v>
      </c>
      <c r="E45" s="3484">
        <v>2043.26</v>
      </c>
      <c r="F45" s="3484">
        <v>19946.77</v>
      </c>
      <c r="G45" s="3484">
        <v>18025.84</v>
      </c>
      <c r="H45" s="3484">
        <v>464.34</v>
      </c>
      <c r="I45" s="3486">
        <v>13829.73</v>
      </c>
      <c r="J45" s="3488">
        <f t="shared" si="9"/>
        <v>113577.73999999999</v>
      </c>
      <c r="K45" s="3488">
        <f t="shared" si="10"/>
        <v>127407.46999999999</v>
      </c>
    </row>
    <row r="46" spans="2:11" s="3471" customFormat="1">
      <c r="C46" s="3484" t="s">
        <v>3434</v>
      </c>
      <c r="D46" s="3484">
        <v>58906.76</v>
      </c>
      <c r="E46" s="3484">
        <v>12062.58</v>
      </c>
      <c r="F46" s="3484">
        <v>15444.85</v>
      </c>
      <c r="G46" s="3484"/>
      <c r="H46" s="3484"/>
      <c r="I46" s="3486">
        <v>11481.67</v>
      </c>
      <c r="J46" s="3488">
        <f t="shared" si="9"/>
        <v>86414.19</v>
      </c>
      <c r="K46" s="3488">
        <f t="shared" si="10"/>
        <v>97895.86</v>
      </c>
    </row>
    <row r="47" spans="2:11" s="3471" customFormat="1">
      <c r="C47" s="3484" t="s">
        <v>3435</v>
      </c>
      <c r="D47" s="3484">
        <f t="shared" ref="D47:I47" si="11">SUM(D42:D46)</f>
        <v>319211.77999999997</v>
      </c>
      <c r="E47" s="3484">
        <f t="shared" si="11"/>
        <v>51775.470000000008</v>
      </c>
      <c r="F47" s="3484">
        <f t="shared" si="11"/>
        <v>86076.95</v>
      </c>
      <c r="G47" s="3484">
        <f t="shared" si="11"/>
        <v>32373.71</v>
      </c>
      <c r="H47" s="3484">
        <f t="shared" si="11"/>
        <v>4987.4400000000005</v>
      </c>
      <c r="I47" s="3486">
        <f t="shared" si="11"/>
        <v>57524.179999999993</v>
      </c>
      <c r="J47" s="3488">
        <f t="shared" si="9"/>
        <v>494425.35000000003</v>
      </c>
      <c r="K47" s="3488">
        <f t="shared" si="10"/>
        <v>551949.53</v>
      </c>
    </row>
    <row r="48" spans="2:11" s="3471" customFormat="1">
      <c r="C48" s="3473"/>
      <c r="D48" s="3575">
        <f>E47+D47</f>
        <v>370987.25</v>
      </c>
      <c r="E48" s="3576"/>
      <c r="F48" s="3575">
        <f>G47+F47</f>
        <v>118450.66</v>
      </c>
      <c r="G48" s="3576"/>
      <c r="H48" s="3473"/>
    </row>
    <row r="49" spans="10:10">
      <c r="J49" s="3482"/>
    </row>
  </sheetData>
  <autoFilter ref="A3:H35">
    <filterColumn colId="1">
      <filters>
        <filter val="地上商业"/>
        <filter val="地下商业"/>
        <filter val="商业"/>
      </filters>
    </filterColumn>
  </autoFilter>
  <mergeCells count="3">
    <mergeCell ref="A1:H1"/>
    <mergeCell ref="D48:E48"/>
    <mergeCell ref="F48:G48"/>
  </mergeCells>
  <phoneticPr fontId="134"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X61" sqref="X6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86" t="s">
        <v>1130</v>
      </c>
      <c r="B2" s="3586"/>
      <c r="C2" s="3586"/>
      <c r="D2" s="796" t="s">
        <v>1106</v>
      </c>
      <c r="E2" s="1638" t="s">
        <v>1107</v>
      </c>
      <c r="F2" s="2658"/>
      <c r="G2" s="2649"/>
      <c r="H2" s="2650"/>
      <c r="I2" s="2324" t="s">
        <v>1131</v>
      </c>
      <c r="J2" s="2658"/>
      <c r="K2" s="2658"/>
      <c r="L2" s="2658"/>
      <c r="M2" s="2658"/>
      <c r="N2" s="2660"/>
      <c r="O2" s="2658"/>
      <c r="P2" s="2658"/>
    </row>
    <row r="3" spans="1:16" ht="15.75" thickBot="1">
      <c r="A3" s="3587" t="s">
        <v>1104</v>
      </c>
      <c r="B3" s="3587"/>
      <c r="C3" s="3587"/>
      <c r="D3" s="43">
        <f>'数据-基础表'!AY6</f>
        <v>50687.57</v>
      </c>
      <c r="E3" s="43">
        <f>'数据-基础表'!AZ5</f>
        <v>199991.93</v>
      </c>
      <c r="F3" s="2658"/>
      <c r="G3" s="1145"/>
      <c r="H3" s="1026" t="s">
        <v>1105</v>
      </c>
      <c r="I3" s="855">
        <f>ROUND('数据-基础表'!B3/'数据-基础表'!A3,2)</f>
        <v>3.95</v>
      </c>
      <c r="J3" s="2658"/>
      <c r="K3" s="2658"/>
      <c r="L3" s="2658"/>
      <c r="M3" s="2658"/>
      <c r="N3" s="2660"/>
      <c r="O3" s="2658"/>
      <c r="P3" s="2658"/>
    </row>
    <row r="4" spans="1:16" ht="15">
      <c r="A4" s="3588"/>
      <c r="B4" s="3589"/>
      <c r="C4" s="3590"/>
      <c r="D4" s="1640" t="s">
        <v>1106</v>
      </c>
      <c r="E4" s="1641" t="s">
        <v>1107</v>
      </c>
      <c r="F4" s="2658"/>
      <c r="G4" s="2651" t="s">
        <v>1132</v>
      </c>
      <c r="H4" s="1026" t="s">
        <v>1112</v>
      </c>
      <c r="I4" s="855">
        <f>ROUND(SUMIF('数据-基础表'!I9:AS9,"地上",'数据-基础表'!I5:AS5)/'数据-基础表'!A3,2)</f>
        <v>3.23</v>
      </c>
      <c r="J4" s="2658"/>
      <c r="K4" s="2658"/>
      <c r="L4" s="2658"/>
      <c r="M4" s="2658"/>
      <c r="N4" s="2660"/>
      <c r="O4" s="2658"/>
      <c r="P4" s="2658"/>
    </row>
    <row r="5" spans="1:16">
      <c r="A5" s="44" t="s">
        <v>1108</v>
      </c>
      <c r="B5" s="3591" t="s">
        <v>1109</v>
      </c>
      <c r="C5" s="3591"/>
      <c r="D5" s="45">
        <f>ROUND($D$3*E5/$E$3,2)</f>
        <v>0</v>
      </c>
      <c r="E5" s="46">
        <f>SUMIF('数据-基础表'!$11:$11,"住宅",'数据-基础表'!$5:$5)</f>
        <v>0</v>
      </c>
      <c r="F5" s="2658"/>
      <c r="G5" s="1145"/>
      <c r="H5" s="1026" t="s">
        <v>1105</v>
      </c>
      <c r="I5" s="855">
        <f>ROUND(E31/D31,2)</f>
        <v>3.95</v>
      </c>
      <c r="J5" s="2658"/>
      <c r="K5" s="2658"/>
      <c r="L5" s="2658"/>
      <c r="M5" s="2658"/>
      <c r="N5" s="2658"/>
      <c r="O5" s="2658"/>
      <c r="P5" s="2658"/>
    </row>
    <row r="6" spans="1:16" ht="15" thickBot="1">
      <c r="A6" s="1643"/>
      <c r="B6" s="3591" t="s">
        <v>1110</v>
      </c>
      <c r="C6" s="3591"/>
      <c r="D6" s="45">
        <f>ROUND($D$3*E6/$E$3,2)</f>
        <v>50687.57</v>
      </c>
      <c r="E6" s="46">
        <f>E3-E5</f>
        <v>199991.93</v>
      </c>
      <c r="F6" s="2658"/>
      <c r="G6" s="2652" t="s">
        <v>1111</v>
      </c>
      <c r="H6" s="1146" t="s">
        <v>1112</v>
      </c>
      <c r="I6" s="2653">
        <f>ROUND(F31/D31,2)</f>
        <v>3.3</v>
      </c>
      <c r="J6" s="2658"/>
      <c r="K6" s="2658"/>
      <c r="L6" s="2658"/>
      <c r="M6" s="2658"/>
      <c r="N6" s="2658"/>
      <c r="O6" s="2658"/>
      <c r="P6" s="2658"/>
    </row>
    <row r="7" spans="1:16" ht="15.75" thickBot="1">
      <c r="A7" s="3583"/>
      <c r="B7" s="3584"/>
      <c r="C7" s="3585"/>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42426.17</v>
      </c>
      <c r="E8" s="48">
        <f>SUMIF('数据-基础表'!BB10:BK10,"地上",'数据-基础表'!BB5:BK5)</f>
        <v>167395.91</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3575.1</v>
      </c>
      <c r="E10" s="48">
        <f>SUMPRODUCT(('数据-基础表'!BB10:BK10="地下")*('数据-基础表'!BB11:BK11="商业")*('数据-基础表'!BB5:BK5))</f>
        <v>14105.84</v>
      </c>
      <c r="F10" s="2658"/>
      <c r="G10" s="2659"/>
      <c r="H10" s="2659"/>
      <c r="I10" s="2658"/>
      <c r="J10" s="2658"/>
      <c r="K10" s="2658"/>
      <c r="L10" s="2658"/>
      <c r="M10" s="2658"/>
      <c r="N10" s="2658"/>
      <c r="O10" s="2658"/>
      <c r="P10" s="2658"/>
    </row>
    <row r="11" spans="1:16">
      <c r="A11" s="1645"/>
      <c r="B11" s="1646"/>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4568.6099999999997</v>
      </c>
      <c r="E13" s="48">
        <f>SUMPRODUCT(('数据-基础表'!BB10:BK10="地下")*('数据-基础表'!BB11:BK11="车库")*('数据-基础表'!BB5:BK5))</f>
        <v>18025.84</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50569.88</v>
      </c>
      <c r="E16" s="50">
        <f>SUM(E8:E15)</f>
        <v>199527.59</v>
      </c>
      <c r="F16" s="2658"/>
      <c r="G16" s="2659"/>
      <c r="H16" s="1647" t="s">
        <v>1134</v>
      </c>
      <c r="I16" s="1648"/>
      <c r="J16" s="1139"/>
      <c r="K16" s="3580" t="s">
        <v>1134</v>
      </c>
      <c r="L16" s="3581"/>
      <c r="M16" s="3581"/>
      <c r="N16" s="3581"/>
      <c r="O16" s="3581"/>
      <c r="P16" s="3582"/>
    </row>
    <row r="17" spans="1:19" ht="15">
      <c r="A17" s="1649" t="s">
        <v>1135</v>
      </c>
      <c r="B17" s="1650" t="s">
        <v>1136</v>
      </c>
      <c r="C17" s="1651" t="s">
        <v>1137</v>
      </c>
      <c r="D17" s="1652" t="s">
        <v>1125</v>
      </c>
      <c r="E17" s="1653" t="s">
        <v>1126</v>
      </c>
      <c r="F17" s="1654"/>
      <c r="G17" s="1655"/>
      <c r="H17" s="1656" t="s">
        <v>1138</v>
      </c>
      <c r="I17" s="1657" t="s">
        <v>1123</v>
      </c>
      <c r="J17" s="1139"/>
      <c r="K17" s="3577" t="s">
        <v>1139</v>
      </c>
      <c r="L17" s="3578"/>
      <c r="M17" s="3579"/>
      <c r="N17" s="3577" t="s">
        <v>1140</v>
      </c>
      <c r="O17" s="3578"/>
      <c r="P17" s="3579"/>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6" t="s">
        <v>3436</v>
      </c>
      <c r="D19" s="45">
        <f>ROUND($D$3*E19/$E$3,2)</f>
        <v>37031.33</v>
      </c>
      <c r="E19" s="53">
        <f t="shared" ref="E19:E26" si="1">SUM(F19:G19)</f>
        <v>146110.13</v>
      </c>
      <c r="F19" s="2794">
        <f>'数据-基础表'!I16+'数据-基础表'!I17</f>
        <v>132004.29</v>
      </c>
      <c r="G19" s="2795">
        <f>'数据-基础表'!K16+'数据-基础表'!K17</f>
        <v>14105.84</v>
      </c>
      <c r="H19" s="670">
        <f>ROUND($D$3*I19/$E$3,2)</f>
        <v>86.18</v>
      </c>
      <c r="I19" s="48">
        <f t="shared" ref="I19:I26" si="2">IF($I$17="自定义",P19,M19)</f>
        <v>340.03</v>
      </c>
      <c r="J19" s="1139"/>
      <c r="K19" s="1138">
        <f t="shared" ref="K19:K26" si="3">ROUND(E$28*E19/E$27,2)</f>
        <v>340.03</v>
      </c>
      <c r="L19" s="1026">
        <f t="shared" ref="L19:L26" si="4">ROUND(IF(COUNTIF(C19,"*住宅*")&gt;0,E$29*E19/E$32,0),2)</f>
        <v>0</v>
      </c>
      <c r="M19" s="1150">
        <f>K19+L19</f>
        <v>340.03</v>
      </c>
      <c r="N19" s="1667"/>
      <c r="O19" s="1668"/>
      <c r="P19" s="1150">
        <f>N19+O19</f>
        <v>0</v>
      </c>
      <c r="R19" s="1026">
        <f t="shared" ref="R19:S26" si="5">D19+H19</f>
        <v>37117.51</v>
      </c>
      <c r="S19" s="1027">
        <f t="shared" si="5"/>
        <v>146450.16</v>
      </c>
    </row>
    <row r="20" spans="1:19">
      <c r="A20" s="1669"/>
      <c r="B20" s="47" t="s">
        <v>1152</v>
      </c>
      <c r="C20" s="3416" t="s">
        <v>3437</v>
      </c>
      <c r="D20" s="45">
        <f t="shared" ref="D20:D26" si="6">ROUND($D$3*E20/$E$3,2)</f>
        <v>13538.55</v>
      </c>
      <c r="E20" s="53">
        <f t="shared" si="1"/>
        <v>53417.460000000006</v>
      </c>
      <c r="F20" s="2794">
        <f>'数据-基础表'!M16+'数据-基础表'!M17</f>
        <v>35391.620000000003</v>
      </c>
      <c r="G20" s="2795">
        <f>'数据-基础表'!O16</f>
        <v>18025.84</v>
      </c>
      <c r="H20" s="670">
        <f t="shared" ref="H20:H26" si="7">ROUND($D$3*I20/$E$3,2)</f>
        <v>31.51</v>
      </c>
      <c r="I20" s="48">
        <f t="shared" si="2"/>
        <v>124.31</v>
      </c>
      <c r="J20" s="1139"/>
      <c r="K20" s="1138">
        <f t="shared" si="3"/>
        <v>124.31</v>
      </c>
      <c r="L20" s="1026">
        <f t="shared" si="4"/>
        <v>0</v>
      </c>
      <c r="M20" s="1150">
        <f t="shared" ref="M20:M26" si="8">K20+L20</f>
        <v>124.31</v>
      </c>
      <c r="N20" s="1667"/>
      <c r="O20" s="1668"/>
      <c r="P20" s="1150">
        <f t="shared" ref="P20:P26" si="9">N20+O20</f>
        <v>0</v>
      </c>
      <c r="R20" s="1026">
        <f t="shared" si="5"/>
        <v>13570.06</v>
      </c>
      <c r="S20" s="1027">
        <f t="shared" si="5"/>
        <v>53541.770000000004</v>
      </c>
    </row>
    <row r="21" spans="1:19">
      <c r="A21" s="1669"/>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50569.880000000005</v>
      </c>
      <c r="E27" s="1141">
        <f>IF(SUM(E19:E26)='数据-基础表'!BA5,SUM(E19:E26),IF(F27="地上面积有误","面积有误","地下面积有误"))</f>
        <v>199527.59000000003</v>
      </c>
      <c r="F27" s="1140">
        <f>IF(SUM(F19:F26)=E8,SUM(F19:F26),"地上面积有误")</f>
        <v>167395.91</v>
      </c>
      <c r="G27" s="1142">
        <f>SUM(G19:G26)</f>
        <v>32131.68</v>
      </c>
      <c r="H27" s="1143">
        <f>SUM(H19:H26)</f>
        <v>117.69000000000001</v>
      </c>
      <c r="I27" s="1144">
        <f>SUM(I19:I26)</f>
        <v>464.34</v>
      </c>
      <c r="J27" s="1139"/>
      <c r="K27" s="1147">
        <f>SUM(K19:K26)</f>
        <v>464.34</v>
      </c>
      <c r="L27" s="1148">
        <f>SUM(L19:L26)</f>
        <v>0</v>
      </c>
      <c r="M27" s="1151">
        <f>SUM(M19:M26)</f>
        <v>464.34</v>
      </c>
      <c r="N27" s="1147">
        <f t="shared" ref="N27:O27" si="10">SUM(N19:N26)</f>
        <v>0</v>
      </c>
      <c r="O27" s="1148">
        <f t="shared" si="10"/>
        <v>0</v>
      </c>
      <c r="P27" s="1149">
        <f>SUM(P19:P26)</f>
        <v>0</v>
      </c>
      <c r="R27" s="1028">
        <f>IF(SUM(R19:R26)=$D$3,SUM(R19:R26),SUM(R19:R26)&amp;"误差"&amp;ROUND(SUM(R19:R26)-$D$3,2))</f>
        <v>50687.57</v>
      </c>
      <c r="S27" s="1026">
        <f>IF(SUM(S19:S26)=$E$3,SUM(S19:S26),SUM(S19:S26)&amp;"误差"&amp;ROUND(SUM(S19:S26)-E3,2))</f>
        <v>199991.93</v>
      </c>
    </row>
    <row r="28" spans="1:19">
      <c r="A28" s="1669"/>
      <c r="B28" s="47" t="s">
        <v>1154</v>
      </c>
      <c r="C28" s="1038" t="s">
        <v>1155</v>
      </c>
      <c r="D28" s="45">
        <f>ROUND($D$3*E28/$E$3,2)</f>
        <v>117.69</v>
      </c>
      <c r="E28" s="53">
        <f>SUM(F28:G28)</f>
        <v>464.34</v>
      </c>
      <c r="F28" s="56">
        <f>'数据-基础表'!BQ5+'数据-基础表'!BS5</f>
        <v>0</v>
      </c>
      <c r="G28" s="57">
        <f>'数据-基础表'!BR5+'数据-基础表'!BT5</f>
        <v>464.34</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117.69</v>
      </c>
      <c r="E30" s="1140">
        <f>SUM(E28:E29)</f>
        <v>464.34</v>
      </c>
      <c r="F30" s="1140">
        <f>SUM(F28:F29)</f>
        <v>0</v>
      </c>
      <c r="G30" s="1142">
        <f>SUM(G28:G29)</f>
        <v>464.34</v>
      </c>
      <c r="H30" s="2658"/>
      <c r="I30" s="2658"/>
      <c r="J30" s="2658"/>
      <c r="K30" s="2658"/>
      <c r="L30" s="2658"/>
      <c r="M30" s="2658"/>
      <c r="N30" s="2658"/>
      <c r="O30" s="2658"/>
      <c r="P30" s="2658"/>
    </row>
    <row r="31" spans="1:19" ht="15.75" thickBot="1">
      <c r="A31" s="1675"/>
      <c r="B31" s="1676"/>
      <c r="C31" s="835" t="s">
        <v>1157</v>
      </c>
      <c r="D31" s="676">
        <f>D27+D30</f>
        <v>50687.570000000007</v>
      </c>
      <c r="E31" s="676">
        <f>E27+E30</f>
        <v>199991.93000000002</v>
      </c>
      <c r="F31" s="677">
        <f>F27+F30</f>
        <v>167395.91</v>
      </c>
      <c r="G31" s="678">
        <f>G27+G30</f>
        <v>32596.02</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11.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45182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3438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52728</v>
      </c>
      <c r="F6" s="64">
        <f>SUMIF(项目基本情况!C$12:I$12,C6,项目基本情况!C$15:I$15)</f>
        <v>20.67</v>
      </c>
      <c r="G6" s="65">
        <f>IF(ISERROR(ROUND(POWER(1+H6,D6-F6)*(POWER(1+H6,F6)-1)/(POWER(1+H6,D6)-1),3)),0,ROUND(POWER(1+H6,D6-F6)*(POWER(1+H6,F6)-1)/(POWER(1+H6,D6)-1),3))</f>
        <v>0.74</v>
      </c>
      <c r="H6" s="732">
        <v>0.05</v>
      </c>
      <c r="I6" s="732">
        <v>5.5E-2</v>
      </c>
      <c r="J6" s="66">
        <v>7.0000000000000007E-2</v>
      </c>
      <c r="K6" s="1030">
        <f>SUMIF('数据-汇总表'!C$19:C$33,A6,'数据-汇总表'!E$19:E$33)</f>
        <v>146110.13</v>
      </c>
      <c r="L6" s="733">
        <v>5000</v>
      </c>
      <c r="M6" s="67">
        <f t="shared" ref="M6:M14" si="0">ROUND(K6*L6/10000,0)</f>
        <v>73055</v>
      </c>
      <c r="N6" s="731">
        <f>N21</f>
        <v>0.74</v>
      </c>
      <c r="O6" s="67" t="str">
        <f>IF($N$5="成新度","——",ROUND(M6*N6,0))</f>
        <v>——</v>
      </c>
      <c r="P6" s="68" t="str">
        <f>IF($N$5="成新度","——",M6-O6)</f>
        <v>——</v>
      </c>
      <c r="Q6" s="734">
        <v>0.2</v>
      </c>
      <c r="R6" s="69">
        <f ca="1">SUMIF('数据-汇总表'!C$19:C$33,A6,'数据-汇总表'!R$19:R$27)</f>
        <v>37117.51</v>
      </c>
      <c r="S6" s="51">
        <f>IF('数据-汇总表'!$I$17="按面积比例",SUMIF('数据-汇总表'!C$19:C$33,A6,'数据-汇总表'!K$19:K$33),SUMIF('数据-汇总表'!C$19:C$33,A6,'数据-汇总表'!N$19:N$33))</f>
        <v>340.03</v>
      </c>
      <c r="T6" s="1172">
        <f>ROUND($L$14*S6/10000,0)</f>
        <v>136</v>
      </c>
      <c r="U6" s="3427">
        <v>7.5</v>
      </c>
      <c r="V6" s="70">
        <v>2.5000000000000001E-2</v>
      </c>
      <c r="W6" s="70">
        <v>0.05</v>
      </c>
      <c r="X6" s="1040"/>
      <c r="Y6" s="71">
        <f>N6</f>
        <v>0.74</v>
      </c>
      <c r="Z6" s="72"/>
      <c r="AA6" s="66"/>
      <c r="AB6" s="66"/>
      <c r="AC6" s="1040"/>
      <c r="AD6" s="73"/>
      <c r="AE6" s="1041">
        <f ca="1">IF(AN6="",0,SUMIF(INDIRECT("'"&amp;AN6&amp;"'"&amp;"!E:E"),$AE$5,INDIRECT("'"&amp;AN6&amp;"'"&amp;"!F:F")))</f>
        <v>20.67</v>
      </c>
      <c r="AF6" s="1347"/>
      <c r="AG6" s="138">
        <f>IF(AF6="",0,AE6-AF6)</f>
        <v>0</v>
      </c>
      <c r="AH6" s="74"/>
      <c r="AI6" s="76">
        <v>365</v>
      </c>
      <c r="AJ6" s="77"/>
      <c r="AK6" s="78">
        <v>0.01</v>
      </c>
      <c r="AL6" s="79">
        <v>1.5E-3</v>
      </c>
      <c r="AM6" s="80">
        <v>0.03</v>
      </c>
      <c r="AN6" s="1714" t="s">
        <v>3440</v>
      </c>
      <c r="AO6" s="52">
        <f ca="1">SUMIF(INDIRECT("'"&amp;AN6&amp;"'"&amp;"!A:A"),"总价",INDIRECT("'"&amp;AN6&amp;"'"&amp;"!B:B"))</f>
        <v>447690</v>
      </c>
      <c r="AP6" s="1715">
        <f>IF(C6="住宅",K6*L6,0)</f>
        <v>0</v>
      </c>
      <c r="AQ6" s="52">
        <f>ROUND($L$14*$N$14*S6/10000,0)</f>
        <v>101</v>
      </c>
      <c r="AR6" s="52">
        <f>ROUND($L$14*(1-$N$14)*S6/10000,0)</f>
        <v>35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v>
      </c>
      <c r="D7" s="858">
        <f>SUMIF(项目基本情况!C$12:I$12,C7,项目基本情况!C$14:I$14)</f>
        <v>50</v>
      </c>
      <c r="E7" s="857">
        <f>IF(B7="","",SUMIF(项目基本情况!C$12:I$12,C7,项目基本情况!C$13:I$13))</f>
        <v>56380</v>
      </c>
      <c r="F7" s="64">
        <f>SUMIF(项目基本情况!C$12:I$12,C7,项目基本情况!C$15:I$15)</f>
        <v>30.67</v>
      </c>
      <c r="G7" s="65">
        <f t="shared" ref="G7:G11" si="2">IF(ISERROR(ROUND(POWER(1+H7,D7-F7)*(POWER(1+H7,F7)-1)/(POWER(1+H7,D7)-1),3)),0,ROUND(POWER(1+H7,D7-F7)*(POWER(1+H7,F7)-1)/(POWER(1+H7,D7)-1),3))</f>
        <v>0.83299999999999996</v>
      </c>
      <c r="H7" s="732">
        <v>4.4999999999999998E-2</v>
      </c>
      <c r="I7" s="732">
        <v>0.05</v>
      </c>
      <c r="J7" s="66">
        <v>7.0000000000000007E-2</v>
      </c>
      <c r="K7" s="1030">
        <f>SUMIF('数据-汇总表'!C$19:C$33,A7,'数据-汇总表'!E$19:E$33)</f>
        <v>53417.460000000006</v>
      </c>
      <c r="L7" s="733">
        <v>4000</v>
      </c>
      <c r="M7" s="67">
        <f t="shared" si="0"/>
        <v>21367</v>
      </c>
      <c r="N7" s="731">
        <f>N6</f>
        <v>0.74</v>
      </c>
      <c r="O7" s="67" t="str">
        <f t="shared" ref="O7:O14" si="3">IF($N$5="成新度","——",ROUND(M7*N7,0))</f>
        <v>——</v>
      </c>
      <c r="P7" s="68" t="str">
        <f t="shared" ref="P7:P14" si="4">IF($N$5="成新度","——",M7-O7)</f>
        <v>——</v>
      </c>
      <c r="Q7" s="734">
        <v>0.1</v>
      </c>
      <c r="R7" s="69">
        <f ca="1">SUMIF('数据-汇总表'!C$19:C$33,A7,'数据-汇总表'!R$19:R$27)</f>
        <v>13570.06</v>
      </c>
      <c r="S7" s="51">
        <f>IF('数据-汇总表'!$I$17="按面积比例",SUMIF('数据-汇总表'!C$19:C$33,A7,'数据-汇总表'!K$19:K$33),SUMIF('数据-汇总表'!C$19:C$33,A7,'数据-汇总表'!N$19:N$33))</f>
        <v>124.31</v>
      </c>
      <c r="T7" s="1172">
        <f t="shared" ref="T7:T13" si="5">ROUND($L$14*S7/10000,0)</f>
        <v>50</v>
      </c>
      <c r="U7" s="3427">
        <v>600</v>
      </c>
      <c r="V7" s="70">
        <v>1.4999999999999999E-2</v>
      </c>
      <c r="W7" s="70">
        <v>0.1</v>
      </c>
      <c r="X7" s="1040"/>
      <c r="Y7" s="71">
        <f>N7</f>
        <v>0.74</v>
      </c>
      <c r="Z7" s="72"/>
      <c r="AA7" s="66"/>
      <c r="AB7" s="66"/>
      <c r="AC7" s="1040"/>
      <c r="AD7" s="73"/>
      <c r="AE7" s="1041">
        <f t="shared" ref="AE7:AE13" ca="1" si="6">IF(AN7="",0,SUMIF(INDIRECT("'"&amp;AN7&amp;"'"&amp;"!E:E"),$AE$5,INDIRECT("'"&amp;AN7&amp;"'"&amp;"!F:F")))</f>
        <v>30.67</v>
      </c>
      <c r="AF7" s="1347"/>
      <c r="AG7" s="138">
        <f t="shared" ref="AG7:AG13" si="7">IF(AF7="",0,AE7-AF7)</f>
        <v>0</v>
      </c>
      <c r="AH7" s="74">
        <v>1626</v>
      </c>
      <c r="AI7" s="76">
        <v>12</v>
      </c>
      <c r="AJ7" s="77"/>
      <c r="AK7" s="78">
        <v>5.0000000000000001E-3</v>
      </c>
      <c r="AL7" s="79">
        <v>1.5E-3</v>
      </c>
      <c r="AM7" s="80">
        <v>0.01</v>
      </c>
      <c r="AN7" s="1714" t="s">
        <v>3473</v>
      </c>
      <c r="AO7" s="52">
        <f t="shared" ref="AO7:AO13" ca="1" si="8">SUMIF(INDIRECT("'"&amp;AN7&amp;"'"&amp;"!A:A"),"总价",INDIRECT("'"&amp;AN7&amp;"'"&amp;"!B:B"))</f>
        <v>13561</v>
      </c>
      <c r="AP7" s="1715">
        <f t="shared" ref="AP7:AP13" si="9">IF(C7="住宅",K7*L7,0)</f>
        <v>0</v>
      </c>
      <c r="AQ7" s="52">
        <f t="shared" ref="AQ7:AQ13" si="10">ROUND($L$14*$N$14*S7/10000,0)</f>
        <v>37</v>
      </c>
      <c r="AR7" s="52">
        <f t="shared" ref="AR7:AR13" si="11">ROUND($L$14*(1-$N$14)*S7/10000,0)</f>
        <v>13</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464.34</v>
      </c>
      <c r="L14" s="82">
        <v>4000</v>
      </c>
      <c r="M14" s="67">
        <f t="shared" si="0"/>
        <v>186</v>
      </c>
      <c r="N14" s="83">
        <f>N6</f>
        <v>0.74</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0.76500000000000001</v>
      </c>
      <c r="H16" s="90">
        <f>ROUND(SUMPRODUCT(H6:H13,K6:K13)/SUMPRODUCT((H6:H13&gt;0)*(K6:K13)),3)</f>
        <v>4.9000000000000002E-2</v>
      </c>
      <c r="I16" s="91"/>
      <c r="J16" s="91"/>
      <c r="K16" s="92">
        <f>SUM(K6:K15)</f>
        <v>199991.93000000002</v>
      </c>
      <c r="L16" s="93">
        <f>ROUND(M16*10000/SUM(K6:K14),0)</f>
        <v>4731</v>
      </c>
      <c r="M16" s="93">
        <f>SUM(M6:M14)</f>
        <v>94608</v>
      </c>
      <c r="N16" s="94">
        <f>ROUND(SUMPRODUCT(M6:M14,N6:N14)/M16,3)</f>
        <v>0.74</v>
      </c>
      <c r="O16" s="93">
        <f>SUM(O6:O14)</f>
        <v>0</v>
      </c>
      <c r="P16" s="93">
        <f>SUM(P6:P14)</f>
        <v>0</v>
      </c>
      <c r="Q16" s="95">
        <f>ROUND(SUMPRODUCT(Q6:Q13,K6:K13)/SUMPRODUCT((Q6:Q13&gt;0)*(K6:K13)),2)</f>
        <v>0.17</v>
      </c>
      <c r="R16" s="1034">
        <f ca="1">SUM(R6:R13)</f>
        <v>50687.57</v>
      </c>
      <c r="S16" s="96">
        <f>SUM(S6:S13)</f>
        <v>464.34</v>
      </c>
      <c r="T16" s="97">
        <f>IF(SUMIF(T6:T13,"&lt;9E307")=M14,SUMIF(T6:T13,"&lt;9E307"),"有误，请检查")</f>
        <v>186</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3489" t="s">
        <v>3587</v>
      </c>
      <c r="V18" s="2670"/>
      <c r="W18" s="2670"/>
      <c r="X18" s="3489" t="s">
        <v>3588</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2304</v>
      </c>
      <c r="D19" s="2675"/>
      <c r="E19" s="2672"/>
      <c r="F19" s="2672"/>
      <c r="G19" s="2672"/>
      <c r="H19" s="2672"/>
      <c r="I19" s="2672"/>
      <c r="J19" s="2672"/>
      <c r="K19" s="2671"/>
      <c r="L19" s="2671"/>
      <c r="M19" s="3489" t="s">
        <v>3441</v>
      </c>
      <c r="N19" s="2670">
        <f>ROUND(1-(2023-2004)/60,2)</f>
        <v>0.68</v>
      </c>
      <c r="O19" s="2670"/>
      <c r="P19" s="2670"/>
      <c r="Q19" s="2670"/>
      <c r="R19" s="2670" t="s">
        <v>3462</v>
      </c>
      <c r="S19" s="3491">
        <f>分层面积!F7+分层面积!G7</f>
        <v>14105.84</v>
      </c>
      <c r="T19" s="2670"/>
      <c r="U19" s="2670">
        <v>10</v>
      </c>
      <c r="V19" s="3491">
        <f>U19*S19</f>
        <v>141058.4</v>
      </c>
      <c r="W19" s="2670"/>
      <c r="X19" s="2670">
        <v>0.7</v>
      </c>
      <c r="Y19" s="2670">
        <f>Y20*X19</f>
        <v>7</v>
      </c>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3</v>
      </c>
      <c r="C20" s="2799" t="s">
        <v>2302</v>
      </c>
      <c r="D20" s="2675"/>
      <c r="E20" s="2672"/>
      <c r="F20" s="2672"/>
      <c r="G20" s="2672"/>
      <c r="H20" s="2672"/>
      <c r="I20" s="2672"/>
      <c r="J20" s="2672"/>
      <c r="K20" s="2671"/>
      <c r="L20" s="2671"/>
      <c r="M20" s="3489" t="s">
        <v>3442</v>
      </c>
      <c r="N20" s="2670">
        <v>0.8</v>
      </c>
      <c r="O20" s="2670"/>
      <c r="P20" s="2670"/>
      <c r="Q20" s="2670"/>
      <c r="R20" s="2670" t="s">
        <v>3461</v>
      </c>
      <c r="S20" s="3491">
        <f>分层面积!F9+分层面积!G9</f>
        <v>25316.690000000002</v>
      </c>
      <c r="T20" s="2670">
        <v>1</v>
      </c>
      <c r="U20" s="2670">
        <v>10</v>
      </c>
      <c r="V20" s="3491">
        <f t="shared" ref="V20:V27" si="12">U20*S20</f>
        <v>253166.90000000002</v>
      </c>
      <c r="W20" s="2670"/>
      <c r="X20" s="2670">
        <v>1</v>
      </c>
      <c r="Y20" s="2670">
        <v>10</v>
      </c>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f>B20</f>
        <v>3</v>
      </c>
      <c r="C21" s="2672"/>
      <c r="D21" s="2675"/>
      <c r="E21" s="2672"/>
      <c r="F21" s="2672"/>
      <c r="G21" s="2672"/>
      <c r="H21" s="2672"/>
      <c r="I21" s="2672"/>
      <c r="J21" s="2672"/>
      <c r="K21" s="2671"/>
      <c r="L21" s="2671"/>
      <c r="M21" s="2670"/>
      <c r="N21" s="2670">
        <f>(N19+N20)/2</f>
        <v>0.74</v>
      </c>
      <c r="O21" s="2670"/>
      <c r="P21" s="2670"/>
      <c r="Q21" s="2670"/>
      <c r="R21" s="2670" t="s">
        <v>3463</v>
      </c>
      <c r="S21" s="3491">
        <f>分层面积!F12+分层面积!G12</f>
        <v>21328.23</v>
      </c>
      <c r="T21" s="2670">
        <v>0.75</v>
      </c>
      <c r="U21" s="2670">
        <f>U20*T21</f>
        <v>7.5</v>
      </c>
      <c r="V21" s="3491">
        <f t="shared" si="12"/>
        <v>159961.72500000001</v>
      </c>
      <c r="W21" s="2670"/>
      <c r="X21" s="2670">
        <v>0.75</v>
      </c>
      <c r="Y21" s="2670">
        <f>Y20*X21</f>
        <v>7.5</v>
      </c>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3</v>
      </c>
      <c r="C22" s="2672"/>
      <c r="D22" s="2675"/>
      <c r="E22" s="2672"/>
      <c r="F22" s="2672"/>
      <c r="G22" s="2672"/>
      <c r="H22" s="2672"/>
      <c r="I22" s="2672"/>
      <c r="J22" s="2672"/>
      <c r="K22" s="2671"/>
      <c r="L22" s="2671"/>
      <c r="M22" s="2670"/>
      <c r="N22" s="2670"/>
      <c r="O22" s="2670"/>
      <c r="P22" s="2670"/>
      <c r="Q22" s="2670"/>
      <c r="R22" s="2670" t="s">
        <v>3464</v>
      </c>
      <c r="S22" s="3491">
        <f>分层面积!F15+分层面积!G15</f>
        <v>21312.77</v>
      </c>
      <c r="T22" s="2670">
        <v>0.6</v>
      </c>
      <c r="U22" s="2670">
        <f>U20*T22</f>
        <v>6</v>
      </c>
      <c r="V22" s="3491">
        <f t="shared" si="12"/>
        <v>127876.62</v>
      </c>
      <c r="W22" s="2670"/>
      <c r="X22" s="2670">
        <v>0.6</v>
      </c>
      <c r="Y22" s="2670">
        <f>Y20*X22</f>
        <v>6</v>
      </c>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3</v>
      </c>
      <c r="C23" s="2672"/>
      <c r="D23" s="2675"/>
      <c r="E23" s="2672"/>
      <c r="F23" s="2672"/>
      <c r="G23" s="2672"/>
      <c r="H23" s="2672"/>
      <c r="I23" s="2672"/>
      <c r="J23" s="2672"/>
      <c r="K23" s="2671"/>
      <c r="L23" s="2671"/>
      <c r="M23" s="2670"/>
      <c r="N23" s="2670"/>
      <c r="O23" s="2670"/>
      <c r="P23" s="2670"/>
      <c r="Q23" s="2670"/>
      <c r="R23" s="2670" t="s">
        <v>3465</v>
      </c>
      <c r="S23" s="3491">
        <f>分层面积!F18+分层面积!G18</f>
        <v>21312.77</v>
      </c>
      <c r="T23" s="2670">
        <v>0.6</v>
      </c>
      <c r="U23" s="2670">
        <f>U20*T23</f>
        <v>6</v>
      </c>
      <c r="V23" s="3491">
        <f t="shared" si="12"/>
        <v>127876.62</v>
      </c>
      <c r="W23" s="2670"/>
      <c r="X23" s="2670">
        <v>0.6</v>
      </c>
      <c r="Y23" s="2670">
        <f>Y20*X23</f>
        <v>6</v>
      </c>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t="s">
        <v>3466</v>
      </c>
      <c r="S24" s="3491">
        <f>分层面积!F21+分层面积!G21</f>
        <v>26226.29</v>
      </c>
      <c r="T24" s="2670"/>
      <c r="U24" s="2670">
        <v>7.9</v>
      </c>
      <c r="V24" s="3491">
        <f t="shared" si="12"/>
        <v>207187.69100000002</v>
      </c>
      <c r="W24" s="2670"/>
      <c r="X24" s="2670">
        <v>0.5</v>
      </c>
      <c r="Y24" s="2670">
        <f>Y20*X24</f>
        <v>5</v>
      </c>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t="s">
        <v>3468</v>
      </c>
      <c r="S25" s="3491">
        <f>分层面积!F22+分层面积!G22</f>
        <v>4308.96</v>
      </c>
      <c r="T25" s="2670"/>
      <c r="U25" s="2670">
        <v>7.9</v>
      </c>
      <c r="V25" s="3491">
        <f t="shared" si="12"/>
        <v>34040.784</v>
      </c>
      <c r="W25" s="2670"/>
      <c r="X25" s="2670">
        <v>0.5</v>
      </c>
      <c r="Y25" s="2670">
        <f>Y20*X25</f>
        <v>5</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t="s">
        <v>3467</v>
      </c>
      <c r="S26" s="3491">
        <f>分层面积!F23+分层面积!G23</f>
        <v>11050.9</v>
      </c>
      <c r="T26" s="2670"/>
      <c r="U26" s="2670">
        <v>3.4</v>
      </c>
      <c r="V26" s="3491">
        <f t="shared" si="12"/>
        <v>37573.06</v>
      </c>
      <c r="W26" s="2670"/>
      <c r="X26" s="2670">
        <v>0.4</v>
      </c>
      <c r="Y26" s="2670">
        <f>Y20*X26</f>
        <v>4</v>
      </c>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2306</v>
      </c>
      <c r="D27" s="2678"/>
      <c r="E27" s="2660"/>
      <c r="F27" s="2660"/>
      <c r="G27" s="2672"/>
      <c r="H27" s="2672"/>
      <c r="I27" s="2672"/>
      <c r="J27" s="2672"/>
      <c r="K27" s="2671"/>
      <c r="L27" s="2671"/>
      <c r="M27" s="2670"/>
      <c r="N27" s="2670"/>
      <c r="O27" s="2670"/>
      <c r="P27" s="2670"/>
      <c r="Q27" s="2670"/>
      <c r="R27" s="3489" t="s">
        <v>3469</v>
      </c>
      <c r="S27" s="3491">
        <f>分层面积!F24+分层面积!G24</f>
        <v>1147.68</v>
      </c>
      <c r="T27" s="2670"/>
      <c r="U27" s="2670">
        <v>3.4</v>
      </c>
      <c r="V27" s="3491">
        <f t="shared" si="12"/>
        <v>3902.1120000000001</v>
      </c>
      <c r="W27" s="2670"/>
      <c r="X27" s="2670">
        <v>0.4</v>
      </c>
      <c r="Y27" s="2670">
        <f>Y20*X27</f>
        <v>4</v>
      </c>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3491">
        <f>SUM(S19:S27)</f>
        <v>146110.12999999998</v>
      </c>
      <c r="T28" s="2670"/>
      <c r="U28" s="2670">
        <f>V28/S28</f>
        <v>7.4782214758141698</v>
      </c>
      <c r="V28" s="3491">
        <f>SUM(V19:V27)</f>
        <v>1092643.912</v>
      </c>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4000</v>
      </c>
      <c r="C29" s="2801" t="s">
        <v>2293</v>
      </c>
      <c r="D29" s="2678"/>
      <c r="E29" s="2660"/>
      <c r="F29" s="2660"/>
      <c r="G29" s="2672"/>
      <c r="H29" s="2672"/>
      <c r="I29" s="2672"/>
      <c r="J29" s="2672"/>
      <c r="K29" s="2671"/>
      <c r="L29" s="2671"/>
      <c r="M29" s="2670"/>
      <c r="N29" s="2670"/>
      <c r="O29" s="2670"/>
      <c r="P29" s="2670"/>
      <c r="Q29" s="2670"/>
      <c r="R29" s="2670"/>
      <c r="S29" s="2670"/>
      <c r="T29" s="2670"/>
      <c r="U29" s="2670"/>
      <c r="V29" s="3491">
        <f>V28*365/10000</f>
        <v>39881.502787999998</v>
      </c>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3491">
        <f>S20+S21+S22+S23+4000</f>
        <v>93270.46</v>
      </c>
      <c r="T30" s="2670"/>
      <c r="U30" s="3491">
        <f>U20*S20+U21*S21+U22*S22+U23*S23+U19*4000</f>
        <v>708881.86499999999</v>
      </c>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f>U30/S30</f>
        <v>7.6002827154492421</v>
      </c>
      <c r="V31" s="3491">
        <f>U31*365*S30/10000</f>
        <v>25874.188072499997</v>
      </c>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110</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f>C57</f>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92" t="s">
        <v>2285</v>
      </c>
      <c r="B1" s="3593"/>
      <c r="C1" s="3593"/>
      <c r="D1" s="3593"/>
      <c r="E1" s="3593"/>
      <c r="F1" s="3593"/>
      <c r="G1" s="359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199991.93</v>
      </c>
      <c r="C1" s="2685"/>
      <c r="D1" s="2685"/>
      <c r="E1" s="2685"/>
      <c r="F1" s="2685"/>
      <c r="G1" s="2686"/>
      <c r="H1" s="2687"/>
      <c r="I1" s="2687"/>
      <c r="J1" s="2687"/>
      <c r="K1" s="2687"/>
    </row>
    <row r="2" spans="1:11" ht="16.5">
      <c r="A2" s="2511" t="s">
        <v>653</v>
      </c>
      <c r="B2" s="2511">
        <f>SUM(C14:C23)</f>
        <v>50687.57</v>
      </c>
      <c r="C2" s="2685"/>
      <c r="D2" s="2685"/>
      <c r="E2" s="2685"/>
      <c r="F2" s="2685"/>
      <c r="G2" s="2686"/>
      <c r="H2" s="2687"/>
      <c r="I2" s="2687"/>
      <c r="J2" s="2687"/>
      <c r="K2" s="2687"/>
    </row>
    <row r="3" spans="1:11" ht="16.5">
      <c r="A3" s="2511" t="s">
        <v>662</v>
      </c>
      <c r="B3" s="2513">
        <f>项目基本情况!D3</f>
        <v>45182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501329</v>
      </c>
      <c r="C5" s="2511">
        <f ca="1">IF(B5=D14,结果表!H102,ROUND(B5*10000/$B$1,0))</f>
        <v>25067</v>
      </c>
      <c r="D5" s="2511">
        <f ca="1">ROUND(B5*10000/$B$2,0)</f>
        <v>98906</v>
      </c>
      <c r="E5" s="2685"/>
      <c r="F5" s="2686"/>
      <c r="G5" s="2686"/>
      <c r="H5" s="2687"/>
      <c r="I5" s="2687"/>
      <c r="J5" s="2687"/>
      <c r="K5" s="2687"/>
    </row>
    <row r="6" spans="1:11" ht="16.5">
      <c r="A6" s="2511" t="s">
        <v>656</v>
      </c>
      <c r="B6" s="2511">
        <f ca="1">SUM(G14:G23)</f>
        <v>501329</v>
      </c>
      <c r="C6" s="2511">
        <f ca="1">IF(B6=G14,结果表!H108,ROUND(B6*10000/$B$1,0))</f>
        <v>25067</v>
      </c>
      <c r="D6" s="2511">
        <f ca="1">ROUND(B6*10000/$B$2,0)</f>
        <v>98906</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450735</v>
      </c>
      <c r="C8" s="2511" t="str">
        <f ca="1">IF(B8=I14,结果表!H112,ROUND(B8*10000/$B$1,0))</f>
        <v>——</v>
      </c>
      <c r="D8" s="2511">
        <f ca="1">ROUND(B8*10000/$B$2,0)</f>
        <v>88924</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199991.93</v>
      </c>
      <c r="C14" s="2517">
        <f>结果表!C118</f>
        <v>50687.57</v>
      </c>
      <c r="D14" s="2517">
        <f ca="1">结果表!H118</f>
        <v>501329</v>
      </c>
      <c r="E14" s="2517">
        <f ca="1">ROUND(D14*10000/B14,0)</f>
        <v>25067</v>
      </c>
      <c r="F14" s="2517">
        <f ca="1">ROUND(D14*10000/C14,0)</f>
        <v>98906</v>
      </c>
      <c r="G14" s="2517">
        <f ca="1">D14</f>
        <v>501329</v>
      </c>
      <c r="H14" s="2517"/>
      <c r="I14" s="2517">
        <f ca="1">结果表!N59</f>
        <v>450735</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2" sqref="D12:D13"/>
    </sheetView>
  </sheetViews>
  <sheetFormatPr defaultColWidth="12.625" defaultRowHeight="21.75" customHeight="1"/>
  <cols>
    <col min="1" max="2" width="12.625" style="1752"/>
    <col min="3" max="3" width="12.625" style="1752" customWidth="1"/>
    <col min="4" max="4" width="14.1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61" t="str">
        <f>项目基本情况!S2</f>
        <v>房地产</v>
      </c>
      <c r="B2" s="3662"/>
      <c r="C2" s="3662"/>
      <c r="D2" s="3662"/>
      <c r="E2" s="3662"/>
      <c r="F2" s="3662"/>
      <c r="G2" s="3662"/>
      <c r="H2" s="3662"/>
      <c r="I2" s="3663"/>
    </row>
    <row r="3" spans="1:12" ht="12.75">
      <c r="A3" s="3665" t="s">
        <v>1263</v>
      </c>
      <c r="B3" s="3666"/>
      <c r="C3" s="3666"/>
      <c r="D3" s="3666"/>
      <c r="E3" s="3666"/>
      <c r="F3" s="3666"/>
      <c r="G3" s="3666"/>
      <c r="H3" s="3666"/>
      <c r="I3" s="3666"/>
    </row>
    <row r="4" spans="1:12" ht="14.25">
      <c r="A4" s="1753" t="s">
        <v>1264</v>
      </c>
      <c r="B4" s="1754" t="s">
        <v>1265</v>
      </c>
      <c r="C4" s="1755" t="s">
        <v>3439</v>
      </c>
      <c r="D4" s="1755" t="s">
        <v>3475</v>
      </c>
      <c r="E4" s="3670" t="s">
        <v>1266</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9" t="s">
        <v>1267</v>
      </c>
      <c r="B5" s="3664">
        <v>25</v>
      </c>
      <c r="C5" s="3667"/>
      <c r="D5" s="3655"/>
      <c r="E5" s="131" t="s">
        <v>1268</v>
      </c>
      <c r="F5" s="1756"/>
      <c r="G5" s="1756"/>
      <c r="H5" s="1756"/>
      <c r="I5" s="1372"/>
    </row>
    <row r="6" spans="1:12" ht="12.75">
      <c r="A6" s="3609"/>
      <c r="B6" s="3664"/>
      <c r="C6" s="3669"/>
      <c r="D6" s="3655"/>
      <c r="E6" s="131" t="s">
        <v>1269</v>
      </c>
      <c r="F6" s="1756"/>
      <c r="G6" s="1756"/>
      <c r="H6" s="1756"/>
      <c r="I6" s="1372"/>
    </row>
    <row r="7" spans="1:12" ht="12.75">
      <c r="A7" s="3609"/>
      <c r="B7" s="3664"/>
      <c r="C7" s="3668"/>
      <c r="D7" s="3655"/>
      <c r="E7" s="131" t="s">
        <v>1270</v>
      </c>
      <c r="F7" s="1756"/>
      <c r="G7" s="1756"/>
      <c r="H7" s="1756"/>
      <c r="I7" s="1372"/>
    </row>
    <row r="8" spans="1:12" ht="12.75">
      <c r="A8" s="3609" t="s">
        <v>1271</v>
      </c>
      <c r="B8" s="3664">
        <v>15</v>
      </c>
      <c r="C8" s="3667"/>
      <c r="D8" s="3655"/>
      <c r="E8" s="131" t="s">
        <v>1272</v>
      </c>
      <c r="F8" s="1756"/>
      <c r="G8" s="1756"/>
      <c r="H8" s="1756"/>
      <c r="I8" s="1372"/>
    </row>
    <row r="9" spans="1:12" ht="12.75">
      <c r="A9" s="3609"/>
      <c r="B9" s="3664"/>
      <c r="C9" s="3668"/>
      <c r="D9" s="3655"/>
      <c r="E9" s="131" t="s">
        <v>1273</v>
      </c>
      <c r="F9" s="1756"/>
      <c r="G9" s="1756"/>
      <c r="H9" s="1756"/>
      <c r="I9" s="1372"/>
    </row>
    <row r="10" spans="1:12" ht="12.75">
      <c r="A10" s="3609" t="s">
        <v>1274</v>
      </c>
      <c r="B10" s="3664">
        <v>15</v>
      </c>
      <c r="C10" s="3667"/>
      <c r="D10" s="3655"/>
      <c r="E10" s="131" t="s">
        <v>1275</v>
      </c>
      <c r="F10" s="1756"/>
      <c r="G10" s="1756"/>
      <c r="H10" s="1756"/>
      <c r="I10" s="1372"/>
    </row>
    <row r="11" spans="1:12" ht="12.75">
      <c r="A11" s="3609"/>
      <c r="B11" s="3664"/>
      <c r="C11" s="3668"/>
      <c r="D11" s="3655"/>
      <c r="E11" s="131" t="s">
        <v>1276</v>
      </c>
      <c r="F11" s="1756"/>
      <c r="G11" s="1756"/>
      <c r="H11" s="1756"/>
      <c r="I11" s="1372"/>
    </row>
    <row r="12" spans="1:12" ht="12.75">
      <c r="A12" s="3609" t="s">
        <v>1277</v>
      </c>
      <c r="B12" s="3664">
        <v>15</v>
      </c>
      <c r="C12" s="3667"/>
      <c r="D12" s="3655"/>
      <c r="E12" s="131" t="s">
        <v>1278</v>
      </c>
      <c r="F12" s="1756"/>
      <c r="G12" s="1756"/>
      <c r="H12" s="1756"/>
      <c r="I12" s="1372"/>
    </row>
    <row r="13" spans="1:12" ht="12.75">
      <c r="A13" s="3609"/>
      <c r="B13" s="3664"/>
      <c r="C13" s="3668"/>
      <c r="D13" s="3655"/>
      <c r="E13" s="131" t="s">
        <v>1279</v>
      </c>
      <c r="F13" s="1756"/>
      <c r="G13" s="1756"/>
      <c r="H13" s="1756"/>
      <c r="I13" s="1372"/>
    </row>
    <row r="14" spans="1:12" ht="12.75">
      <c r="A14" s="3609" t="s">
        <v>1280</v>
      </c>
      <c r="B14" s="3664">
        <v>30</v>
      </c>
      <c r="C14" s="3667">
        <v>5</v>
      </c>
      <c r="D14" s="3655">
        <v>5</v>
      </c>
      <c r="E14" s="131" t="s">
        <v>1281</v>
      </c>
      <c r="F14" s="1756"/>
      <c r="G14" s="1756"/>
      <c r="H14" s="1756"/>
      <c r="I14" s="1372"/>
    </row>
    <row r="15" spans="1:12" ht="12.75">
      <c r="A15" s="3609"/>
      <c r="B15" s="3664"/>
      <c r="C15" s="3669"/>
      <c r="D15" s="3655"/>
      <c r="E15" s="131" t="s">
        <v>1282</v>
      </c>
      <c r="F15" s="1756"/>
      <c r="G15" s="1756"/>
      <c r="H15" s="1756"/>
      <c r="I15" s="1372"/>
    </row>
    <row r="16" spans="1:12" ht="12.75">
      <c r="A16" s="3609"/>
      <c r="B16" s="3664"/>
      <c r="C16" s="3668"/>
      <c r="D16" s="3655"/>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86" t="s">
        <v>2130</v>
      </c>
      <c r="F18" s="3687"/>
      <c r="G18" s="3687"/>
      <c r="H18" s="3687"/>
      <c r="I18" s="3687"/>
      <c r="K18" s="302" t="s">
        <v>1288</v>
      </c>
      <c r="L18" s="302">
        <f>IF(C1="",'数据-汇总表'!E3,SUMIF(项目类型,C1,'数据-汇总表'!E17:E26)+SUMIF(项目类型,C1,'数据-汇总表'!I17:I26))</f>
        <v>199991.93</v>
      </c>
      <c r="M18" s="302">
        <f>IF(C1="",'数据-汇总表'!E3,SUMIF(项目类型,C1,'数据-汇总表'!E17:E26))</f>
        <v>199991.93</v>
      </c>
    </row>
    <row r="19" spans="1:36" ht="15">
      <c r="A19" s="1760" t="s">
        <v>1289</v>
      </c>
      <c r="B19" s="1761" t="s">
        <v>1290</v>
      </c>
      <c r="C19" s="134">
        <f ca="1">SUMIF(INDIRECT("'"&amp;C4&amp;"'"&amp;"!A:A"),结果表!B19,INDIRECT("'"&amp;C4&amp;"'"&amp;"!B:B"))</f>
        <v>541407</v>
      </c>
      <c r="D19" s="135">
        <f ca="1">SUMIF(INDIRECT("'"&amp;D4&amp;"'"&amp;"!A:A"),结果表!B19,INDIRECT("'"&amp;D4&amp;"'"&amp;"!B:B"))</f>
        <v>461251</v>
      </c>
      <c r="E19" s="1760" t="s">
        <v>1291</v>
      </c>
      <c r="F19" s="1761" t="s">
        <v>1290</v>
      </c>
      <c r="G19" s="136">
        <f ca="1">ROUND(C19*$C$18+D19*$D$18,0)</f>
        <v>501329</v>
      </c>
      <c r="H19" s="1762" t="s">
        <v>1292</v>
      </c>
      <c r="I19" s="129"/>
      <c r="K19" s="302" t="s">
        <v>1293</v>
      </c>
      <c r="L19" s="302">
        <f>IF(C1="",'数据-汇总表'!D3,SUMIF(项目类型,C1,'数据-汇总表'!D17:D26)+SUMIF(项目类型,C1,'数据-汇总表'!H17:H27))</f>
        <v>50687.57</v>
      </c>
      <c r="M19" s="302">
        <f>IF(C1="",'数据-汇总表'!D3,SUMIF(项目类型,C1,'数据-汇总表'!D17:D26))</f>
        <v>50687.57</v>
      </c>
    </row>
    <row r="20" spans="1:36" ht="15">
      <c r="A20" s="1763"/>
      <c r="B20" s="1026" t="s">
        <v>1294</v>
      </c>
      <c r="C20" s="137">
        <f ca="1">SUMIF(INDIRECT("'"&amp;C4&amp;"'"&amp;"!A:A"),结果表!B20,INDIRECT("'"&amp;C4&amp;"'"&amp;"!B:B"))</f>
        <v>27071</v>
      </c>
      <c r="D20" s="138">
        <f ca="1">SUMIF(INDIRECT("'"&amp;D4&amp;"'"&amp;"!A:A"),结果表!B20,INDIRECT("'"&amp;D4&amp;"'"&amp;"!B:B"))</f>
        <v>23063</v>
      </c>
      <c r="E20" s="1763"/>
      <c r="F20" s="1026" t="s">
        <v>1294</v>
      </c>
      <c r="G20" s="139">
        <f ca="1">ROUND(C20*$C$18+D20*$D$18,0)</f>
        <v>25067</v>
      </c>
      <c r="H20" s="808" t="s">
        <v>1295</v>
      </c>
      <c r="I20" s="129"/>
    </row>
    <row r="21" spans="1:36" ht="15" customHeight="1" thickBot="1">
      <c r="A21" s="828"/>
      <c r="B21" s="1764" t="s">
        <v>1296</v>
      </c>
      <c r="C21" s="719">
        <f ca="1">ROUND(C19*10000/L19,0)</f>
        <v>106813</v>
      </c>
      <c r="D21" s="720">
        <f ca="1">ROUND(D19*10000/L19,0)</f>
        <v>90999</v>
      </c>
      <c r="E21" s="828"/>
      <c r="F21" s="1764" t="s">
        <v>1296</v>
      </c>
      <c r="G21" s="140">
        <f ca="1">ROUND(G19*10000/L19,0)</f>
        <v>98906</v>
      </c>
      <c r="H21" s="1765" t="s">
        <v>1295</v>
      </c>
      <c r="I21" s="129"/>
    </row>
    <row r="22" spans="1:36" ht="15" thickBot="1">
      <c r="A22" s="1687" t="s">
        <v>1297</v>
      </c>
      <c r="B22" s="1766"/>
      <c r="C22" s="1767"/>
      <c r="D22" s="721">
        <f ca="1">IF(C19&lt;D19,D19/C19-1,C19/D19-1)</f>
        <v>0.17377956904158465</v>
      </c>
      <c r="E22" s="129"/>
      <c r="F22" s="129"/>
      <c r="G22" s="129"/>
      <c r="H22" s="129"/>
      <c r="I22" s="129"/>
    </row>
    <row r="23" spans="1:36" ht="13.5" thickBot="1">
      <c r="A23" s="1746"/>
      <c r="B23" s="1746"/>
      <c r="C23" s="1746"/>
      <c r="D23" s="1746"/>
      <c r="E23" s="129"/>
      <c r="F23" s="129"/>
      <c r="G23" s="129"/>
      <c r="H23" s="129"/>
      <c r="I23" s="129"/>
    </row>
    <row r="24" spans="1:36" ht="14.25">
      <c r="A24" s="3679" t="s">
        <v>1298</v>
      </c>
      <c r="B24" s="1761" t="s">
        <v>1290</v>
      </c>
      <c r="C24" s="136">
        <f>IF(B30=0,0,D30)</f>
        <v>0</v>
      </c>
      <c r="D24" s="1768"/>
      <c r="E24" s="129"/>
      <c r="F24" s="129"/>
      <c r="G24" s="129"/>
      <c r="H24" s="129"/>
      <c r="I24" s="129"/>
    </row>
    <row r="25" spans="1:36" ht="14.25">
      <c r="A25" s="3680"/>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2.9948700658217993</v>
      </c>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501329</v>
      </c>
      <c r="D32" s="1774" t="s">
        <v>3446</v>
      </c>
      <c r="E32" s="129"/>
      <c r="F32" s="129"/>
      <c r="G32" s="129"/>
      <c r="H32" s="129"/>
      <c r="I32" s="129"/>
    </row>
    <row r="33" spans="1:15" ht="15">
      <c r="A33" s="786" t="s">
        <v>1305</v>
      </c>
      <c r="B33" s="1775"/>
      <c r="C33" s="1776" t="s">
        <v>3581</v>
      </c>
      <c r="D33" s="1777" t="s">
        <v>3439</v>
      </c>
      <c r="E33" s="1778" t="s">
        <v>1306</v>
      </c>
      <c r="F33" s="1779" t="str">
        <f>IF(D32="楼面单价","取值（单价）","取值（总价）")</f>
        <v>取值（总价）</v>
      </c>
      <c r="G33" s="129"/>
      <c r="H33" s="129"/>
      <c r="I33" s="129"/>
    </row>
    <row r="34" spans="1:15" ht="15">
      <c r="A34" s="1780"/>
      <c r="B34" s="1781" t="s">
        <v>1307</v>
      </c>
      <c r="C34" s="148">
        <f ca="1">IF(C33="自定义",F34,C32-C35)</f>
        <v>402066</v>
      </c>
      <c r="D34" s="861">
        <f ca="1">IF(C33="自定义",ROUND(C34/C32,3),IF(C33="收益比率",SUMIF(INDIRECT("'"&amp;D33&amp;"'"&amp;"!b:b"),"土地收益比率",INDIRECT("'"&amp;D33&amp;"'"&amp;"!c:c")),SUMIF(INDIRECT("'"&amp;D33&amp;"'"&amp;"!b:b"),"土地成本比率",INDIRECT("'"&amp;D33&amp;"'"&amp;"!c:c"))))</f>
        <v>0.80200000000000005</v>
      </c>
      <c r="E34" s="1782" t="s">
        <v>1308</v>
      </c>
      <c r="F34" s="1329"/>
      <c r="G34" s="129"/>
      <c r="H34" s="129"/>
      <c r="I34" s="129"/>
    </row>
    <row r="35" spans="1:15" ht="15.75" thickBot="1">
      <c r="A35" s="1783"/>
      <c r="B35" s="1784" t="s">
        <v>1309</v>
      </c>
      <c r="C35" s="1170">
        <f ca="1">IF(C33="自定义",F35,ROUND(C32*D35,0))</f>
        <v>99263</v>
      </c>
      <c r="D35" s="1171">
        <f ca="1">IF(C33="自定义",ROUND(C35/C32,3),IF(C33="收益比率",SUMIF(INDIRECT("'"&amp;D33&amp;"'"&amp;"!b:b"),"建筑物收益比率",INDIRECT("'"&amp;D33&amp;"'"&amp;"!c:c")),SUMIF(INDIRECT("'"&amp;D33&amp;"'"&amp;"!b:b"),"建筑物成本比率",INDIRECT("'"&amp;D33&amp;"'"&amp;"!c:c"))))</f>
        <v>0.19800000000000001</v>
      </c>
      <c r="E35" s="1785" t="s">
        <v>1310</v>
      </c>
      <c r="F35" s="154"/>
      <c r="G35" s="129"/>
      <c r="H35" s="129"/>
      <c r="I35" s="129"/>
    </row>
    <row r="36" spans="1:15" ht="15.75" thickBot="1">
      <c r="A36" s="3656" t="s">
        <v>1311</v>
      </c>
      <c r="B36" s="1786" t="s">
        <v>1312</v>
      </c>
      <c r="C36" s="145"/>
      <c r="D36" s="1787"/>
      <c r="E36" s="1788"/>
      <c r="F36" s="1789"/>
      <c r="G36" s="129"/>
      <c r="H36" s="129"/>
      <c r="I36" s="129"/>
    </row>
    <row r="37" spans="1:15" ht="15.75" thickBot="1">
      <c r="A37" s="3657"/>
      <c r="B37" s="1673" t="s">
        <v>1313</v>
      </c>
      <c r="C37" s="147"/>
      <c r="D37" s="1139"/>
      <c r="E37" s="1139"/>
      <c r="F37" s="1789"/>
      <c r="G37" s="129"/>
      <c r="H37" s="129"/>
      <c r="I37" s="129"/>
    </row>
    <row r="38" spans="1:15" ht="15.75" thickBot="1">
      <c r="A38" s="3658"/>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76" t="s">
        <v>1325</v>
      </c>
      <c r="B45" s="3677"/>
      <c r="C45" s="3678"/>
      <c r="D45" s="155">
        <f ca="1">ROUND(H101*F45,0)</f>
        <v>280744</v>
      </c>
      <c r="E45" s="156" t="s">
        <v>1326</v>
      </c>
      <c r="F45" s="157">
        <v>0.56000000000000005</v>
      </c>
      <c r="G45" s="158" t="s">
        <v>1327</v>
      </c>
      <c r="H45" s="129"/>
      <c r="I45" s="129"/>
      <c r="J45" s="3596" t="s">
        <v>1328</v>
      </c>
      <c r="K45" s="3596"/>
      <c r="L45" s="3596"/>
      <c r="M45" s="3596"/>
      <c r="N45" s="3596"/>
      <c r="O45" s="3596"/>
    </row>
    <row r="46" spans="1:15" ht="14.25" customHeight="1">
      <c r="A46" s="3673" t="s">
        <v>1329</v>
      </c>
      <c r="B46" s="3674"/>
      <c r="C46" s="3674"/>
      <c r="D46" s="3674"/>
      <c r="E46" s="3674"/>
      <c r="F46" s="3674"/>
      <c r="G46" s="3675"/>
      <c r="H46" s="1805"/>
      <c r="I46" s="159"/>
      <c r="J46" s="2522">
        <v>1</v>
      </c>
      <c r="K46" s="3597" t="s">
        <v>1330</v>
      </c>
      <c r="L46" s="3597"/>
      <c r="M46" s="3598"/>
      <c r="N46" s="3598"/>
      <c r="O46" s="3598"/>
    </row>
    <row r="47" spans="1:15" ht="12" customHeight="1">
      <c r="A47" s="160" t="s">
        <v>1331</v>
      </c>
      <c r="B47" s="161"/>
      <c r="C47" s="162"/>
      <c r="D47" s="1087" t="s">
        <v>1332</v>
      </c>
      <c r="E47" s="302" t="s">
        <v>1333</v>
      </c>
      <c r="F47" s="163" t="s">
        <v>1334</v>
      </c>
      <c r="G47" s="2545" t="s">
        <v>1335</v>
      </c>
      <c r="H47" s="2546"/>
      <c r="I47" s="159"/>
      <c r="J47" s="2522">
        <v>2</v>
      </c>
      <c r="K47" s="3597" t="s">
        <v>1336</v>
      </c>
      <c r="L47" s="3597"/>
      <c r="M47" s="3599">
        <f>'数据-取费表'!B2</f>
        <v>45182</v>
      </c>
      <c r="N47" s="3599"/>
      <c r="O47" s="3599"/>
    </row>
    <row r="48" spans="1:15" ht="25.5">
      <c r="A48" s="3659" t="s">
        <v>1337</v>
      </c>
      <c r="B48" s="3660"/>
      <c r="C48" s="3660"/>
      <c r="D48" s="2323">
        <f ca="1">IF(H48="情况1",0,IF(H48="情况2",D52,IF(H48="情况3",D53,IF(H48="情况4",D54))))</f>
        <v>14973</v>
      </c>
      <c r="E48" s="2333" t="str">
        <f>IF(H48="情况4","(销售额-原购置价)×税（费）率","销售额×税（费）率")</f>
        <v>销售额×税（费）率</v>
      </c>
      <c r="F48" s="2547">
        <f>IF(H48="情况1","免征",'数据-取费表'!B41)</f>
        <v>5.6000000000000001E-2</v>
      </c>
      <c r="G48" s="2548" t="s">
        <v>1338</v>
      </c>
      <c r="H48" s="2549" t="s">
        <v>3589</v>
      </c>
      <c r="I48" s="1805"/>
      <c r="J48" s="2522">
        <v>3</v>
      </c>
      <c r="K48" s="3597" t="s">
        <v>1339</v>
      </c>
      <c r="L48" s="3597"/>
      <c r="M48" s="3600">
        <f ca="1">H101</f>
        <v>501329</v>
      </c>
      <c r="N48" s="3600"/>
      <c r="O48" s="3600"/>
    </row>
    <row r="49" spans="1:35" ht="25.5" customHeight="1">
      <c r="A49" s="2332" t="s">
        <v>1340</v>
      </c>
      <c r="B49" s="3645" t="s">
        <v>1341</v>
      </c>
      <c r="C49" s="3645"/>
      <c r="D49" s="1589">
        <v>0</v>
      </c>
      <c r="E49" s="324" t="s">
        <v>1342</v>
      </c>
      <c r="F49" s="2423" t="s">
        <v>28</v>
      </c>
      <c r="G49" s="3628"/>
      <c r="H49" s="2309" t="s">
        <v>2133</v>
      </c>
      <c r="I49" s="2310"/>
      <c r="J49" s="2522">
        <v>4</v>
      </c>
      <c r="K49" s="3597" t="str">
        <f>IF(项目基本情况!E8="房地产抵押价值","房地产抵押价值","抵押担保权已注销时的房地产抵押价值")</f>
        <v>房地产抵押价值</v>
      </c>
      <c r="L49" s="3597"/>
      <c r="M49" s="3600">
        <f ca="1">IF(项目基本情况!E8="房地产抵押价值",H107,H109)</f>
        <v>501329</v>
      </c>
      <c r="N49" s="3600"/>
      <c r="O49" s="3600"/>
    </row>
    <row r="50" spans="1:35" ht="25.5" customHeight="1">
      <c r="A50" s="2550"/>
      <c r="B50" s="3645" t="s">
        <v>1343</v>
      </c>
      <c r="C50" s="3645"/>
      <c r="D50" s="2551"/>
      <c r="E50" s="332"/>
      <c r="F50" s="2423"/>
      <c r="G50" s="3629"/>
      <c r="H50" s="2311" t="s">
        <v>2134</v>
      </c>
      <c r="I50" s="2310"/>
      <c r="J50" s="3596" t="s">
        <v>1344</v>
      </c>
      <c r="K50" s="3596"/>
      <c r="L50" s="3596"/>
      <c r="M50" s="3596"/>
      <c r="N50" s="3596"/>
      <c r="O50" s="3596"/>
    </row>
    <row r="51" spans="1:35" ht="20.45" customHeight="1">
      <c r="A51" s="2552"/>
      <c r="B51" s="3645" t="s">
        <v>1345</v>
      </c>
      <c r="C51" s="3645"/>
      <c r="D51" s="1087"/>
      <c r="E51" s="327"/>
      <c r="F51" s="2423"/>
      <c r="G51" s="3630"/>
      <c r="H51" s="2311" t="s">
        <v>2135</v>
      </c>
      <c r="I51" s="2310"/>
      <c r="J51" s="2523" t="s">
        <v>1346</v>
      </c>
      <c r="K51" s="3597" t="s">
        <v>1347</v>
      </c>
      <c r="L51" s="3597"/>
      <c r="M51" s="2523" t="s">
        <v>1348</v>
      </c>
      <c r="N51" s="2523" t="s">
        <v>1349</v>
      </c>
      <c r="O51" s="2523" t="s">
        <v>1350</v>
      </c>
    </row>
    <row r="52" spans="1:35" ht="24" customHeight="1">
      <c r="A52" s="2334" t="s">
        <v>1351</v>
      </c>
      <c r="B52" s="3645" t="s">
        <v>1352</v>
      </c>
      <c r="C52" s="3645"/>
      <c r="D52" s="1087">
        <f ca="1">ROUND(D45*'数据-取费表'!B41/(1+'数据-取费表'!C42),0)</f>
        <v>14973</v>
      </c>
      <c r="E52" s="2333" t="s">
        <v>1353</v>
      </c>
      <c r="F52" s="2553">
        <f>'数据-取费表'!B41</f>
        <v>5.6000000000000001E-2</v>
      </c>
      <c r="G52" s="2554"/>
      <c r="H52" s="2543"/>
      <c r="I52" s="1806"/>
      <c r="J52" s="2522">
        <v>1</v>
      </c>
      <c r="K52" s="3622" t="s">
        <v>1354</v>
      </c>
      <c r="L52" s="3622"/>
      <c r="M52" s="2524">
        <f ca="1">D48</f>
        <v>14973</v>
      </c>
      <c r="N52" s="2522" t="str">
        <f>E48</f>
        <v>销售额×税（费）率</v>
      </c>
      <c r="O52" s="2525">
        <f>F48</f>
        <v>5.6000000000000001E-2</v>
      </c>
    </row>
    <row r="53" spans="1:35" ht="12" customHeight="1">
      <c r="A53" s="2334" t="s">
        <v>1355</v>
      </c>
      <c r="B53" s="3646" t="s">
        <v>2290</v>
      </c>
      <c r="C53" s="3647"/>
      <c r="D53" s="1087">
        <f ca="1">ROUND(D45*'数据-取费表'!B41/(1+'数据-取费表'!C42),0)</f>
        <v>14973</v>
      </c>
      <c r="E53" s="2333" t="s">
        <v>1353</v>
      </c>
      <c r="F53" s="2553">
        <f>'数据-取费表'!B41</f>
        <v>5.6000000000000001E-2</v>
      </c>
      <c r="G53" s="2554"/>
      <c r="H53" s="2543"/>
      <c r="I53" s="1806"/>
      <c r="J53" s="2522">
        <v>2</v>
      </c>
      <c r="K53" s="3622" t="s">
        <v>1356</v>
      </c>
      <c r="L53" s="3622"/>
      <c r="M53" s="2524">
        <f t="shared" ref="M53:O54" ca="1" si="0">D55</f>
        <v>140</v>
      </c>
      <c r="N53" s="2522" t="str">
        <f t="shared" si="0"/>
        <v>销售额×税（费）率</v>
      </c>
      <c r="O53" s="2525">
        <f t="shared" si="0"/>
        <v>5.0000000000000001E-4</v>
      </c>
    </row>
    <row r="54" spans="1:35" ht="12" customHeight="1">
      <c r="A54" s="2334" t="s">
        <v>1357</v>
      </c>
      <c r="B54" s="3646" t="s">
        <v>2291</v>
      </c>
      <c r="C54" s="3647"/>
      <c r="D54" s="1087">
        <f ca="1">C68</f>
        <v>14973</v>
      </c>
      <c r="E54" s="327" t="s">
        <v>1358</v>
      </c>
      <c r="F54" s="2553">
        <f>'数据-取费表'!B41</f>
        <v>5.6000000000000001E-2</v>
      </c>
      <c r="G54" s="2554"/>
      <c r="H54" s="2555"/>
      <c r="I54" s="1806"/>
      <c r="J54" s="2522">
        <v>3</v>
      </c>
      <c r="K54" s="3622" t="s">
        <v>1359</v>
      </c>
      <c r="L54" s="3622"/>
      <c r="M54" s="2524">
        <f t="shared" ca="1" si="0"/>
        <v>35481</v>
      </c>
      <c r="N54" s="2522" t="str">
        <f t="shared" si="0"/>
        <v>增值额×税（费）率</v>
      </c>
      <c r="O54" s="2526" t="str">
        <f t="shared" si="0"/>
        <v>——</v>
      </c>
    </row>
    <row r="55" spans="1:35" ht="24" customHeight="1">
      <c r="A55" s="3682" t="s">
        <v>1360</v>
      </c>
      <c r="B55" s="3660"/>
      <c r="C55" s="3660"/>
      <c r="D55" s="2323">
        <f ca="1">IF(H55="个人住宅",0,ROUND(D45*I55,0))</f>
        <v>140</v>
      </c>
      <c r="E55" s="2333" t="s">
        <v>1361</v>
      </c>
      <c r="F55" s="2553">
        <f>IF(H55="正常",I55,"免征")</f>
        <v>5.0000000000000001E-4</v>
      </c>
      <c r="G55" s="2554"/>
      <c r="H55" s="2549" t="s">
        <v>3590</v>
      </c>
      <c r="I55" s="165">
        <f>'数据-取费表'!B49</f>
        <v>5.0000000000000001E-4</v>
      </c>
      <c r="J55" s="2522" t="str">
        <f>IF(H59="非个人房产","",4)</f>
        <v/>
      </c>
      <c r="K55" s="3622" t="str">
        <f>IF(H59="非个人房产","——","个人所得税")</f>
        <v>——</v>
      </c>
      <c r="L55" s="3622"/>
      <c r="M55" s="2527" t="str">
        <f>D59</f>
        <v>——</v>
      </c>
      <c r="N55" s="2039" t="str">
        <f>E59</f>
        <v>——</v>
      </c>
      <c r="O55" s="2528" t="str">
        <f>F59</f>
        <v>——</v>
      </c>
    </row>
    <row r="56" spans="1:35" ht="24.75">
      <c r="A56" s="3682" t="s">
        <v>1362</v>
      </c>
      <c r="B56" s="3660"/>
      <c r="C56" s="3660"/>
      <c r="D56" s="2323">
        <f ca="1">IF(H56="个人住宅",D57,D58)</f>
        <v>35481</v>
      </c>
      <c r="E56" s="2333" t="s">
        <v>1363</v>
      </c>
      <c r="F56" s="2553" t="str">
        <f>IF(H56="正常",F58,"免征")</f>
        <v>——</v>
      </c>
      <c r="G56" s="2556" t="s">
        <v>1364</v>
      </c>
      <c r="H56" s="2557" t="s">
        <v>3590</v>
      </c>
      <c r="I56" s="1807"/>
      <c r="J56" s="2522" t="str">
        <f>IF(项目基本情况!K6="上海银行",IF(J55="",4,J55+1),"")</f>
        <v/>
      </c>
      <c r="K56" s="3603" t="str">
        <f>IF(项目基本情况!K6="上海银行","其他处置费用","")</f>
        <v/>
      </c>
      <c r="L56" s="3604"/>
      <c r="M56" s="2524" t="str">
        <f>IF(项目基本情况!K6="上海银行",M69,"")</f>
        <v/>
      </c>
      <c r="N56" s="3603" t="str">
        <f>IF(项目基本情况!K6="上海银行","包含处置中涉及的律师、诉讼、拍卖、评估等费用","")</f>
        <v/>
      </c>
      <c r="O56" s="3606"/>
    </row>
    <row r="57" spans="1:35" ht="12.75">
      <c r="A57" s="2334" t="s">
        <v>1340</v>
      </c>
      <c r="B57" s="3646" t="s">
        <v>1365</v>
      </c>
      <c r="C57" s="3647"/>
      <c r="D57" s="1589">
        <v>0</v>
      </c>
      <c r="E57" s="324" t="s">
        <v>1342</v>
      </c>
      <c r="F57" s="302"/>
      <c r="G57" s="2554"/>
      <c r="H57" s="2558"/>
      <c r="I57" s="1807"/>
      <c r="J57" s="3622">
        <f>IF(AND(J55="",J56=""),4,IF(项目基本情况!K6="上海银行",结果表!J56+1,结果表!J55+1))</f>
        <v>4</v>
      </c>
      <c r="K57" s="3622" t="s">
        <v>1366</v>
      </c>
      <c r="L57" s="2529" t="s">
        <v>1367</v>
      </c>
      <c r="M57" s="2530"/>
      <c r="N57" s="2531">
        <f ca="1">SUMIF(M52:M56,"&lt;9e307")</f>
        <v>50594</v>
      </c>
      <c r="O57" s="2532"/>
      <c r="P57" s="2689">
        <f ca="1">N57/M49</f>
        <v>0.10091975529043802</v>
      </c>
    </row>
    <row r="58" spans="1:35" ht="24.75">
      <c r="A58" s="2334" t="s">
        <v>1351</v>
      </c>
      <c r="B58" s="3646" t="s">
        <v>1368</v>
      </c>
      <c r="C58" s="3645"/>
      <c r="D58" s="2323">
        <f ca="1">IF(H58="转让取得",C81,C97)</f>
        <v>35481</v>
      </c>
      <c r="E58" s="2333" t="s">
        <v>1363</v>
      </c>
      <c r="F58" s="302" t="s">
        <v>28</v>
      </c>
      <c r="G58" s="2554"/>
      <c r="H58" s="2557" t="s">
        <v>3591</v>
      </c>
      <c r="I58" s="1807"/>
      <c r="J58" s="3622"/>
      <c r="K58" s="3622"/>
      <c r="L58" s="2529" t="s">
        <v>1369</v>
      </c>
      <c r="M58" s="2533"/>
      <c r="N58" s="2534" t="str">
        <f ca="1">NUMBERSTRING(INT(N57*10000),2)&amp;"元整"</f>
        <v>伍亿零伍佰玖拾肆万元整</v>
      </c>
      <c r="O58" s="2535"/>
    </row>
    <row r="59" spans="1:35" ht="24.75" thickBot="1">
      <c r="A59" s="3626" t="s">
        <v>1370</v>
      </c>
      <c r="B59" s="3627"/>
      <c r="C59" s="362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3592</v>
      </c>
      <c r="I59" s="2312" t="s">
        <v>2136</v>
      </c>
      <c r="J59" s="3624">
        <f>J57+1</f>
        <v>5</v>
      </c>
      <c r="K59" s="3622" t="s">
        <v>1371</v>
      </c>
      <c r="L59" s="2522" t="s">
        <v>1367</v>
      </c>
      <c r="M59" s="2536"/>
      <c r="N59" s="2537">
        <f ca="1">M49-N57</f>
        <v>450735</v>
      </c>
      <c r="O59" s="2538"/>
    </row>
    <row r="60" spans="1:35" ht="12" customHeight="1">
      <c r="A60" s="1808"/>
      <c r="B60" s="1746"/>
      <c r="C60" s="1746"/>
      <c r="D60" s="1746"/>
      <c r="E60" s="1577"/>
      <c r="F60" s="1807"/>
      <c r="G60" s="1807"/>
      <c r="H60" s="1809"/>
      <c r="I60" s="129"/>
      <c r="J60" s="3625"/>
      <c r="K60" s="3622"/>
      <c r="L60" s="2529" t="s">
        <v>1369</v>
      </c>
      <c r="M60" s="2533"/>
      <c r="N60" s="2534" t="str">
        <f ca="1">NUMBERSTRING(INT(N59*10000),2)&amp;"元整"</f>
        <v>肆拾伍亿零柒佰叁拾伍万元整</v>
      </c>
      <c r="O60" s="2535"/>
    </row>
    <row r="61" spans="1:35" ht="13.5" thickBot="1">
      <c r="A61" s="3681" t="s">
        <v>1372</v>
      </c>
      <c r="B61" s="3681"/>
      <c r="C61" s="3681"/>
      <c r="D61" s="3681"/>
      <c r="E61" s="3681"/>
      <c r="F61" s="1807"/>
      <c r="G61" s="1807"/>
      <c r="H61" s="1809"/>
      <c r="I61" s="129"/>
      <c r="J61" s="2522">
        <f>J59+1</f>
        <v>6</v>
      </c>
      <c r="K61" s="3622" t="s">
        <v>1373</v>
      </c>
      <c r="L61" s="3622"/>
      <c r="M61" s="2539"/>
      <c r="N61" s="2540">
        <f ca="1">ROUND(N59*10000/'数据-汇总表'!E3,0)</f>
        <v>22538</v>
      </c>
      <c r="O61" s="2541"/>
    </row>
    <row r="62" spans="1:35" ht="12.75">
      <c r="A62" s="3641" t="s">
        <v>1374</v>
      </c>
      <c r="B62" s="3642"/>
      <c r="C62" s="2020"/>
      <c r="D62" s="2020" t="s">
        <v>1375</v>
      </c>
      <c r="E62" s="166" t="s">
        <v>1376</v>
      </c>
      <c r="F62" s="1807"/>
      <c r="G62" s="1807"/>
      <c r="H62" s="1809"/>
      <c r="I62" s="129"/>
    </row>
    <row r="63" spans="1:35" ht="12.75">
      <c r="A63" s="173" t="s">
        <v>330</v>
      </c>
      <c r="B63" s="167" t="s">
        <v>1377</v>
      </c>
      <c r="C63" s="2563">
        <f ca="1">ROUND((C64+C65)/(1+'数据-取费表'!C42),0)</f>
        <v>267375</v>
      </c>
      <c r="D63" s="167"/>
      <c r="E63" s="168"/>
      <c r="F63" s="1807"/>
      <c r="G63" s="1807"/>
      <c r="H63" s="1809"/>
      <c r="I63" s="129"/>
      <c r="J63" s="3605" t="s">
        <v>1378</v>
      </c>
      <c r="K63" s="1331" t="s">
        <v>1379</v>
      </c>
      <c r="L63" s="1331">
        <f ca="1">IF(M49&gt;10000,M49*0.5%,IF(AND(M49&gt;1000,M49&lt;=10000),M49*1%,IF(AND(M49&gt;100,M49&lt;=1000),M49*3%,IF(AND(M49&gt;10,M49&lt;=100),M49*5%,M49*8%))))</f>
        <v>2506.645</v>
      </c>
      <c r="M63" s="302">
        <f ca="1">ROUND(L63,1)</f>
        <v>2506.6</v>
      </c>
      <c r="N63" s="2542"/>
      <c r="Z63" s="1751"/>
      <c r="AI63" s="1752"/>
    </row>
    <row r="64" spans="1:35" ht="14.25" customHeight="1">
      <c r="A64" s="169" t="s">
        <v>325</v>
      </c>
      <c r="B64" s="170" t="s">
        <v>1380</v>
      </c>
      <c r="C64" s="2564">
        <f ca="1">D45</f>
        <v>280744</v>
      </c>
      <c r="D64" s="170" t="s">
        <v>26</v>
      </c>
      <c r="E64" s="172"/>
      <c r="F64" s="1807"/>
      <c r="G64" s="1807"/>
      <c r="H64" s="1809"/>
      <c r="I64" s="129"/>
      <c r="J64" s="3605"/>
      <c r="K64" s="1331" t="s">
        <v>1381</v>
      </c>
      <c r="L64" s="1331">
        <f ca="1">IF(M49&gt;2000,M49*0.5%,IF(AND(M49&gt;1000,M49&lt;=2000),M49*0.6%,IF(AND(M49&gt;500,M49&lt;=1000),M49*0.7%,IF(AND(M49&gt;200,M49&lt;=500),M49*0.8%,IF(AND(M49&gt;100,M49&lt;=200),M49*0.9%,IF(AND(M49&gt;50,M49&lt;=100),M49*1%,IF(AND(M49&gt;20,M49&lt;=50),M49*1.5%,IF(AND(M49&gt;10,M49&lt;=20),M49*2%,IF(AND(M49&gt;1,M49&lt;=10),M49*2.5%)))))))))</f>
        <v>2506.645</v>
      </c>
      <c r="M64" s="302">
        <f t="shared" ref="M64:M65" ca="1" si="1">ROUND(L64,1)</f>
        <v>2506.6</v>
      </c>
      <c r="N64" s="2543" t="s">
        <v>1382</v>
      </c>
      <c r="Z64" s="1751"/>
      <c r="AI64" s="1752"/>
    </row>
    <row r="65" spans="1:35" ht="14.25" customHeight="1">
      <c r="A65" s="169" t="s">
        <v>326</v>
      </c>
      <c r="B65" s="170" t="s">
        <v>1383</v>
      </c>
      <c r="C65" s="2565"/>
      <c r="D65" s="170"/>
      <c r="E65" s="172"/>
      <c r="F65" s="1807"/>
      <c r="G65" s="1807"/>
      <c r="H65" s="1809"/>
      <c r="I65" s="129"/>
      <c r="J65" s="3605"/>
      <c r="K65" s="1331" t="s">
        <v>1384</v>
      </c>
      <c r="L65" s="1331">
        <f ca="1">IF(M49&gt;1000,M49*0.1%,IF(AND(M49&gt;500,M49&lt;=1000),M49*0.5%,IF(AND(M49&gt;50,M49&lt;=500),M49*1%,IF(AND(M49&gt;1,M49&lt;=50),M49*1.5%))))</f>
        <v>501.32900000000001</v>
      </c>
      <c r="M65" s="302">
        <f t="shared" ca="1" si="1"/>
        <v>501.3</v>
      </c>
      <c r="N65" s="2543" t="s">
        <v>1382</v>
      </c>
      <c r="Z65" s="1751"/>
      <c r="AI65" s="1752"/>
    </row>
    <row r="66" spans="1:35" ht="14.25" customHeight="1">
      <c r="A66" s="173" t="s">
        <v>327</v>
      </c>
      <c r="B66" s="174" t="s">
        <v>1385</v>
      </c>
      <c r="C66" s="2566"/>
      <c r="D66" s="174" t="s">
        <v>26</v>
      </c>
      <c r="E66" s="1337" t="s">
        <v>671</v>
      </c>
      <c r="F66" s="1807"/>
      <c r="G66" s="1807"/>
      <c r="H66" s="1809"/>
      <c r="I66" s="129"/>
      <c r="J66" s="3605"/>
      <c r="K66" s="1331" t="s">
        <v>1386</v>
      </c>
      <c r="L66" s="1331">
        <f ca="1">M49*0.5%</f>
        <v>2506.645</v>
      </c>
      <c r="M66" s="302">
        <f ca="1">IF(L66&gt;0.5,0.5,ROUND(L66,0))</f>
        <v>0.5</v>
      </c>
      <c r="N66" s="2543" t="s">
        <v>1387</v>
      </c>
      <c r="Z66" s="1751"/>
      <c r="AI66" s="1752"/>
    </row>
    <row r="67" spans="1:35" ht="14.25" customHeight="1">
      <c r="A67" s="173" t="s">
        <v>328</v>
      </c>
      <c r="B67" s="174" t="s">
        <v>1388</v>
      </c>
      <c r="C67" s="2567">
        <f ca="1">C63-C66</f>
        <v>267375</v>
      </c>
      <c r="D67" s="170" t="s">
        <v>26</v>
      </c>
      <c r="E67" s="172"/>
      <c r="F67" s="1807"/>
      <c r="G67" s="1807"/>
      <c r="H67" s="1809"/>
      <c r="I67" s="129"/>
      <c r="J67" s="3605"/>
      <c r="K67" s="1331" t="s">
        <v>1389</v>
      </c>
      <c r="L67" s="1331">
        <f ca="1">IF(M49&gt;=10000,(8.25+(M49-10000)*0.01%),IF(AND(M49&gt;=8000,M49&lt;10000),(7.85+(M49-8000)*0.02%),IF(AND(M49&gt;=5000,M49&lt;8000),(6.65+(M49-5000)*0.04%),IF(AND(M49&gt;=2000,M49&lt;5000),(4.25+(PM49-2000)*0.08%),IF(AND(M49&gt;=1000,M49&lt;2000),(2.75+(M49-1000)*0.15%),IF(AND(M49&gt;=100,M49&lt;1000),(0.5+(M49-100)*0.25%),IF(AND(M49&gt;0,M49&lt;100),M49*0.5%)))))))</f>
        <v>57.382899999999999</v>
      </c>
      <c r="M67" s="302">
        <f ca="1">ROUND(L67*0.9,1)</f>
        <v>51.6</v>
      </c>
      <c r="N67" s="2542"/>
      <c r="Z67" s="1751"/>
      <c r="AI67" s="1752"/>
    </row>
    <row r="68" spans="1:35" ht="14.25" customHeight="1" thickBot="1">
      <c r="A68" s="176" t="s">
        <v>329</v>
      </c>
      <c r="B68" s="177" t="s">
        <v>1390</v>
      </c>
      <c r="C68" s="2568">
        <f ca="1">IF(C67&lt;=0,0,ROUND(C67*D68,0))</f>
        <v>14973</v>
      </c>
      <c r="D68" s="2569">
        <f>'数据-取费表'!B41</f>
        <v>5.6000000000000001E-2</v>
      </c>
      <c r="E68" s="178"/>
      <c r="F68" s="1807"/>
      <c r="G68" s="1807"/>
      <c r="H68" s="1809"/>
      <c r="I68" s="129"/>
      <c r="J68" s="3605"/>
      <c r="K68" s="1331" t="s">
        <v>1391</v>
      </c>
      <c r="L68" s="1331">
        <f ca="1">IF(M49&gt;10000,M49*0.5%,IF(AND(M49&gt;5000,M49&lt;=10000),M49*1%,IF(AND(M49&gt;1000,M49&lt;=5000),M49*2%,IF(AND(M49&gt;200,M49&lt;=1000),M49*3%,M49*5%))))</f>
        <v>2506.645</v>
      </c>
      <c r="M68" s="302">
        <f ca="1">ROUND(L68,1)</f>
        <v>2506.6</v>
      </c>
      <c r="N68" s="2542"/>
      <c r="Z68" s="1751"/>
      <c r="AI68" s="1752"/>
    </row>
    <row r="69" spans="1:35" s="1771" customFormat="1" ht="16.5" customHeight="1">
      <c r="A69" s="1810"/>
      <c r="B69" s="1811"/>
      <c r="C69" s="1812"/>
      <c r="D69" s="1813"/>
      <c r="E69" s="1814"/>
      <c r="F69" s="1577"/>
      <c r="G69" s="1577"/>
      <c r="H69" s="1576"/>
      <c r="I69" s="1746"/>
      <c r="J69" s="3605"/>
      <c r="K69" s="1331" t="s">
        <v>1392</v>
      </c>
      <c r="L69" s="1331"/>
      <c r="M69" s="302">
        <f ca="1">ROUND(SUM(M63:M68),0)</f>
        <v>8073</v>
      </c>
      <c r="N69" s="2544">
        <f ca="1">M69/M49</f>
        <v>1.610319770051204E-2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9" t="s">
        <v>1393</v>
      </c>
      <c r="B70" s="3650"/>
      <c r="C70" s="3650"/>
      <c r="D70" s="3650"/>
      <c r="E70" s="3650"/>
      <c r="F70" s="3650"/>
      <c r="G70" s="3650"/>
      <c r="H70" s="365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41" t="s">
        <v>1374</v>
      </c>
      <c r="B71" s="3642"/>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267375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1604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646" t="s">
        <v>1401</v>
      </c>
      <c r="F76" s="3645"/>
      <c r="G76" s="3645"/>
      <c r="H76" s="364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1604</v>
      </c>
      <c r="D78" s="2576">
        <f>'数据-取费表'!B43</f>
        <v>6.000000000000001E-3</v>
      </c>
      <c r="E78" s="3638" t="s">
        <v>1405</v>
      </c>
      <c r="F78" s="3639"/>
      <c r="G78" s="3639"/>
      <c r="H78" s="364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265771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165.69264339152119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158901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9" t="s">
        <v>1409</v>
      </c>
      <c r="B83" s="3650"/>
      <c r="C83" s="3650"/>
      <c r="D83" s="3650"/>
      <c r="E83" s="3650"/>
      <c r="F83" s="3650"/>
      <c r="G83" s="3650"/>
      <c r="H83" s="365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41" t="s">
        <v>1374</v>
      </c>
      <c r="B84" s="3642"/>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267375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158818.69683199999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16177.696832000001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f>(1000*'数据-汇总表'!F19+333*'数据-汇总表'!G19+400*'数据-汇总表'!F20+340*'数据-汇总表'!G20)/10000</f>
        <v>15698.696832000001</v>
      </c>
      <c r="D88" s="2576"/>
      <c r="E88" s="193" t="s">
        <v>1412</v>
      </c>
      <c r="F88" s="2326"/>
      <c r="G88" s="194" t="s">
        <v>1413</v>
      </c>
      <c r="H88" s="1823" t="s">
        <v>3593</v>
      </c>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479</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607" t="s">
        <v>2128</v>
      </c>
      <c r="H90" s="3608"/>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 ca="1">IF(H91="——",成本法!C33,I91)</f>
        <v>104757</v>
      </c>
      <c r="D91" s="2576"/>
      <c r="E91" s="3638" t="s">
        <v>1418</v>
      </c>
      <c r="F91" s="3639"/>
      <c r="G91" s="3639"/>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 ca="1">ROUND((C87+C90+C91)*D92,0)</f>
        <v>12093</v>
      </c>
      <c r="D92" s="2582">
        <v>0.1</v>
      </c>
      <c r="E92" s="3638" t="s">
        <v>1421</v>
      </c>
      <c r="F92" s="3639"/>
      <c r="G92" s="3639"/>
      <c r="H92" s="364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1604</v>
      </c>
      <c r="D93" s="2576">
        <f>'数据-取费表'!B43</f>
        <v>6.000000000000001E-3</v>
      </c>
      <c r="E93" s="3638" t="s">
        <v>1405</v>
      </c>
      <c r="F93" s="3639"/>
      <c r="G93" s="3639"/>
      <c r="H93" s="364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 ca="1">ROUND((C87+C90+C91)*D94,0)</f>
        <v>24187</v>
      </c>
      <c r="D94" s="2576">
        <v>0.2</v>
      </c>
      <c r="E94" s="3683" t="s">
        <v>1425</v>
      </c>
      <c r="F94" s="3684"/>
      <c r="G94" s="3684"/>
      <c r="H94" s="36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108556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0.68352153849260977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35481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88" t="s">
        <v>1427</v>
      </c>
      <c r="B100" s="3589"/>
      <c r="C100" s="3589"/>
      <c r="D100" s="3623"/>
      <c r="E100" s="3589" t="s">
        <v>1428</v>
      </c>
      <c r="F100" s="3589"/>
      <c r="G100" s="3589"/>
      <c r="H100" s="3623"/>
      <c r="I100" s="129"/>
    </row>
    <row r="101" spans="1:35" ht="18.75" customHeight="1">
      <c r="A101" s="3631" t="s">
        <v>1429</v>
      </c>
      <c r="B101" s="3632"/>
      <c r="C101" s="2584" t="str">
        <f>C4</f>
        <v>成本法</v>
      </c>
      <c r="D101" s="2585" t="str">
        <f>D4</f>
        <v>收益法（汇总）</v>
      </c>
      <c r="E101" s="3601" t="s">
        <v>1430</v>
      </c>
      <c r="F101" s="3602"/>
      <c r="G101" s="1826" t="s">
        <v>1431</v>
      </c>
      <c r="H101" s="2594">
        <f ca="1">H118</f>
        <v>501329</v>
      </c>
      <c r="I101" s="129"/>
    </row>
    <row r="102" spans="1:35" ht="18.75" customHeight="1">
      <c r="A102" s="3633" t="s">
        <v>1432</v>
      </c>
      <c r="B102" s="2583" t="s">
        <v>1431</v>
      </c>
      <c r="C102" s="2584">
        <f ca="1">IF(D32="楼面单价",ROUND(C19,0),C19)</f>
        <v>541407</v>
      </c>
      <c r="D102" s="2585">
        <f ca="1">IF(D32="楼面单价",ROUND(D19,0),D19)</f>
        <v>461251</v>
      </c>
      <c r="E102" s="3601"/>
      <c r="F102" s="3602"/>
      <c r="G102" s="1826" t="s">
        <v>1433</v>
      </c>
      <c r="H102" s="2554">
        <f ca="1">I118</f>
        <v>25067</v>
      </c>
      <c r="I102" s="129"/>
    </row>
    <row r="103" spans="1:35" ht="42.75" customHeight="1">
      <c r="A103" s="3633"/>
      <c r="B103" s="2583" t="s">
        <v>1433</v>
      </c>
      <c r="C103" s="2586">
        <f ca="1">C20</f>
        <v>27071</v>
      </c>
      <c r="D103" s="2587">
        <f ca="1">D20</f>
        <v>23063</v>
      </c>
      <c r="E103" s="3594" t="s">
        <v>1434</v>
      </c>
      <c r="F103" s="3595"/>
      <c r="G103" s="1827" t="s">
        <v>1435</v>
      </c>
      <c r="H103" s="2594">
        <f>IF(D36="正常操作",H104+H105+H106,H105+H106)</f>
        <v>0</v>
      </c>
      <c r="I103" s="129"/>
    </row>
    <row r="104" spans="1:35" ht="18.75" customHeight="1">
      <c r="A104" s="3633" t="s">
        <v>1436</v>
      </c>
      <c r="B104" s="2588" t="s">
        <v>1431</v>
      </c>
      <c r="C104" s="2589">
        <f ca="1">H118</f>
        <v>501329</v>
      </c>
      <c r="D104" s="2590"/>
      <c r="E104" s="1673" t="s">
        <v>1437</v>
      </c>
      <c r="F104" s="1665"/>
      <c r="G104" s="1827" t="s">
        <v>1435</v>
      </c>
      <c r="H104" s="2595">
        <f>IF(D36="同一抵押权人同一抵押物续贷",C36&amp;"（续贷，未扣减，详见特别提示）",C36)</f>
        <v>0</v>
      </c>
      <c r="I104" s="129"/>
    </row>
    <row r="105" spans="1:35" ht="18.75" customHeight="1" thickBot="1">
      <c r="A105" s="3643"/>
      <c r="B105" s="2591" t="s">
        <v>1433</v>
      </c>
      <c r="C105" s="2592">
        <f ca="1">I118</f>
        <v>25067</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634" t="str">
        <f>IF(项目基本情况!E8="已注销","——","3.房地产抵押价值")</f>
        <v>3.房地产抵押价值</v>
      </c>
      <c r="F107" s="3602"/>
      <c r="G107" s="1826" t="s">
        <v>1431</v>
      </c>
      <c r="H107" s="2594">
        <f ca="1">IF(E107="——","——",H101-H103)</f>
        <v>501329</v>
      </c>
      <c r="I107" s="129"/>
    </row>
    <row r="108" spans="1:35" ht="18.75" customHeight="1">
      <c r="A108" s="129"/>
      <c r="B108" s="129"/>
      <c r="C108" s="129"/>
      <c r="D108" s="129"/>
      <c r="E108" s="3634"/>
      <c r="F108" s="3602"/>
      <c r="G108" s="1826" t="s">
        <v>1433</v>
      </c>
      <c r="H108" s="2554">
        <f ca="1">IF(H107=H101,H102,ROUND(H107*10000/'数据-汇总表'!E3,0))</f>
        <v>25067</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02"/>
      <c r="G109" s="1826" t="s">
        <v>1431</v>
      </c>
      <c r="H109" s="2597" t="str">
        <f>IF(E109="——","——",H101-H105-H106)</f>
        <v>——</v>
      </c>
      <c r="I109" s="129"/>
    </row>
    <row r="110" spans="1:35" ht="18.75" customHeight="1">
      <c r="A110" s="129"/>
      <c r="B110" s="129"/>
      <c r="C110" s="129"/>
      <c r="D110" s="129"/>
      <c r="E110" s="3634"/>
      <c r="F110" s="3602"/>
      <c r="G110" s="1826" t="s">
        <v>1433</v>
      </c>
      <c r="H110" s="2554"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21"/>
      <c r="G111" s="1826" t="s">
        <v>1431</v>
      </c>
      <c r="H111" s="2594" t="str">
        <f>IF(E111="——","——",N59)</f>
        <v>——</v>
      </c>
      <c r="I111" s="129"/>
    </row>
    <row r="112" spans="1:35" ht="18.75" customHeight="1" thickBot="1">
      <c r="A112" s="129"/>
      <c r="B112" s="129"/>
      <c r="C112" s="129"/>
      <c r="D112" s="129"/>
      <c r="E112" s="3636"/>
      <c r="F112" s="3637"/>
      <c r="G112" s="1829" t="s">
        <v>1433</v>
      </c>
      <c r="H112" s="2598" t="str">
        <f>IF(E111="——","——",N61)</f>
        <v>——</v>
      </c>
      <c r="I112" s="129"/>
    </row>
    <row r="113" spans="1:27" ht="18.75" customHeight="1">
      <c r="A113" s="129"/>
      <c r="B113" s="129"/>
      <c r="C113" s="129"/>
      <c r="D113" s="129"/>
      <c r="E113" s="3644" t="s">
        <v>1439</v>
      </c>
      <c r="F113" s="3644"/>
      <c r="G113" s="3644"/>
      <c r="H113" s="3644"/>
      <c r="I113" s="129"/>
    </row>
    <row r="114" spans="1:27" ht="3.75" customHeight="1">
      <c r="A114" s="1746"/>
      <c r="B114" s="1746"/>
      <c r="C114" s="1746"/>
      <c r="D114" s="1746"/>
      <c r="E114" s="1808"/>
      <c r="F114" s="1808"/>
      <c r="G114" s="1808"/>
      <c r="H114" s="1808"/>
      <c r="I114" s="1746"/>
    </row>
    <row r="115" spans="1:27" ht="18.75" customHeight="1">
      <c r="A115" s="3652" t="s">
        <v>1441</v>
      </c>
      <c r="B115" s="3653"/>
      <c r="C115" s="3653"/>
      <c r="D115" s="3653"/>
      <c r="E115" s="3653"/>
      <c r="F115" s="3653"/>
      <c r="G115" s="3653"/>
      <c r="H115" s="3653"/>
      <c r="I115" s="3654"/>
    </row>
    <row r="116" spans="1:27" ht="27" customHeight="1">
      <c r="A116" s="3609" t="s">
        <v>1442</v>
      </c>
      <c r="B116" s="3613" t="s">
        <v>1443</v>
      </c>
      <c r="C116" s="3613" t="s">
        <v>1444</v>
      </c>
      <c r="D116" s="3619" t="s">
        <v>1445</v>
      </c>
      <c r="E116" s="3620"/>
      <c r="F116" s="3651" t="s">
        <v>1446</v>
      </c>
      <c r="G116" s="3651"/>
      <c r="H116" s="3609" t="s">
        <v>1447</v>
      </c>
      <c r="I116" s="3609"/>
    </row>
    <row r="117" spans="1:27" ht="18.75" customHeight="1">
      <c r="A117" s="3609"/>
      <c r="B117" s="3614"/>
      <c r="C117" s="3614"/>
      <c r="D117" s="2328" t="s">
        <v>1448</v>
      </c>
      <c r="E117" s="2328" t="s">
        <v>1449</v>
      </c>
      <c r="F117" s="2328" t="s">
        <v>1448</v>
      </c>
      <c r="G117" s="2328" t="s">
        <v>1450</v>
      </c>
      <c r="H117" s="2328" t="s">
        <v>1448</v>
      </c>
      <c r="I117" s="2328" t="s">
        <v>1450</v>
      </c>
    </row>
    <row r="118" spans="1:27" ht="24.75" customHeight="1">
      <c r="A118" s="2599" t="str">
        <f>项目基本情况!S2</f>
        <v>房地产</v>
      </c>
      <c r="B118" s="2328">
        <f>M18</f>
        <v>199991.93</v>
      </c>
      <c r="C118" s="2328">
        <f>M19</f>
        <v>50687.57</v>
      </c>
      <c r="D118" s="2328">
        <f ca="1">ROUND(IF(D32="总价",C34,E118*B118/10000),0)</f>
        <v>402066</v>
      </c>
      <c r="E118" s="2328">
        <f ca="1">ROUND(IF(C33="自定义",IF(D32="楼面单价",C34,D118*10000/B118),I118-G118),0)</f>
        <v>20104</v>
      </c>
      <c r="F118" s="2328">
        <f ca="1">ROUND(IF(D32="总价",C35,G118*B118/10000),0)</f>
        <v>99263</v>
      </c>
      <c r="G118" s="2328">
        <f ca="1">ROUND(IF(D32="楼面单价",C35,F118*10000/B118),0)</f>
        <v>4963</v>
      </c>
      <c r="H118" s="2328">
        <f ca="1">ROUND(IF(D32="总价",C32,I118*B118/10000),0)</f>
        <v>501329</v>
      </c>
      <c r="I118" s="2328">
        <f ca="1">ROUND(IF(D32="楼面单价",C32,H118*10000/B118),0)</f>
        <v>25067</v>
      </c>
    </row>
    <row r="119" spans="1:27" ht="18.75" customHeight="1">
      <c r="A119" s="3609" t="s">
        <v>1451</v>
      </c>
      <c r="B119" s="3609"/>
      <c r="C119" s="3609"/>
      <c r="D119" s="3615" t="str">
        <f ca="1">NUMBERSTRING(INT(D118*10000),2)&amp;"元整"</f>
        <v>肆拾亿贰仟零陆拾陆万元整</v>
      </c>
      <c r="E119" s="3616"/>
      <c r="F119" s="3615" t="str">
        <f ca="1">NUMBERSTRING(INT(F118*10000),2)&amp;"元整"</f>
        <v>玖亿玖仟贰佰陆拾叁万元整</v>
      </c>
      <c r="G119" s="3616"/>
      <c r="H119" s="3615" t="str">
        <f ca="1">NUMBERSTRING(INT(H118*10000),2)&amp;"元整"</f>
        <v>伍拾亿壹仟叁佰贰拾玖万元整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1451</v>
      </c>
      <c r="B121" s="3617"/>
      <c r="C121" s="3616"/>
      <c r="D121" s="3615" t="str">
        <f>IF(D120=0,"零元整",NUMBERSTRING(INT(D120*10000),2)&amp;"元整")</f>
        <v>零元整</v>
      </c>
      <c r="E121" s="3617"/>
      <c r="F121" s="3617"/>
      <c r="G121" s="3617"/>
      <c r="H121" s="3617"/>
      <c r="I121" s="3616"/>
      <c r="AA121" s="725"/>
    </row>
    <row r="122" spans="1:27" ht="18.75" customHeight="1">
      <c r="A122" s="3621" t="str">
        <f>IF(项目基本情况!B9="房地产市场价值","",MID(E107,3,LEN(E107)-2))</f>
        <v>房地产抵押价值</v>
      </c>
      <c r="B122" s="3621"/>
      <c r="C122" s="3621"/>
      <c r="D122" s="3610">
        <f ca="1">H107</f>
        <v>501329</v>
      </c>
      <c r="E122" s="3611"/>
      <c r="F122" s="3611"/>
      <c r="G122" s="3611"/>
      <c r="H122" s="3611"/>
      <c r="I122" s="3612"/>
      <c r="AA122" s="725"/>
    </row>
    <row r="123" spans="1:27" ht="18.75" customHeight="1">
      <c r="A123" s="3609" t="s">
        <v>1451</v>
      </c>
      <c r="B123" s="3609"/>
      <c r="C123" s="3609"/>
      <c r="D123" s="3615" t="str">
        <f ca="1">NUMBERSTRING(INT(D122*10000),2)&amp;"元整"</f>
        <v>伍拾亿壹仟叁佰贰拾玖万元整</v>
      </c>
      <c r="E123" s="3617"/>
      <c r="F123" s="3617"/>
      <c r="G123" s="3617"/>
      <c r="H123" s="3617"/>
      <c r="I123" s="3616"/>
      <c r="AA123" s="725"/>
    </row>
    <row r="124" spans="1:27" ht="18.75" customHeight="1">
      <c r="A124" s="3621" t="str">
        <f>IF(项目基本情况!B9="房地产市场价值","",MID(E109,3,LEN(E109)-2))</f>
        <v/>
      </c>
      <c r="B124" s="3621"/>
      <c r="C124" s="3621"/>
      <c r="D124" s="3610" t="str">
        <f>H109</f>
        <v>——</v>
      </c>
      <c r="E124" s="3611"/>
      <c r="F124" s="3611"/>
      <c r="G124" s="3611"/>
      <c r="H124" s="3611"/>
      <c r="I124" s="3612"/>
      <c r="AA124" s="725"/>
    </row>
    <row r="125" spans="1:27" ht="18.75" customHeight="1">
      <c r="A125" s="3609" t="s">
        <v>1451</v>
      </c>
      <c r="B125" s="3609"/>
      <c r="C125" s="3609"/>
      <c r="D125" s="3615" t="e">
        <f>NUMBERSTRING(INT(D124*10000),2)&amp;"元整"</f>
        <v>#VALUE!</v>
      </c>
      <c r="E125" s="3617"/>
      <c r="F125" s="3617"/>
      <c r="G125" s="3617"/>
      <c r="H125" s="3617"/>
      <c r="I125" s="3616"/>
      <c r="AA125" s="725"/>
    </row>
    <row r="126" spans="1:27" ht="18.75" customHeight="1">
      <c r="A126" s="3621" t="str">
        <f>IF(项目基本情况!B9="房地产市场价值","",MID(E111,3,LEN(E111)-2))</f>
        <v/>
      </c>
      <c r="B126" s="3621"/>
      <c r="C126" s="3621"/>
      <c r="D126" s="3610" t="str">
        <f>H111</f>
        <v>——</v>
      </c>
      <c r="E126" s="3611"/>
      <c r="F126" s="3611"/>
      <c r="G126" s="3611"/>
      <c r="H126" s="3611"/>
      <c r="I126" s="3612"/>
      <c r="AA126" s="725"/>
    </row>
    <row r="127" spans="1:27" ht="18.75" customHeight="1">
      <c r="A127" s="3609" t="s">
        <v>1451</v>
      </c>
      <c r="B127" s="3609"/>
      <c r="C127" s="3609"/>
      <c r="D127" s="3615" t="e">
        <f>NUMBERSTRING(INT(D126*10000),2)&amp;"元整"</f>
        <v>#VALUE!</v>
      </c>
      <c r="E127" s="3617"/>
      <c r="F127" s="3617"/>
      <c r="G127" s="3617"/>
      <c r="H127" s="3617"/>
      <c r="I127" s="3616"/>
      <c r="AA127" s="725"/>
    </row>
    <row r="128" spans="1:27" ht="21.75" customHeight="1">
      <c r="A128" s="3618" t="s">
        <v>1452</v>
      </c>
      <c r="B128" s="3618"/>
      <c r="C128" s="3618"/>
      <c r="D128" s="3618"/>
      <c r="E128" s="3618"/>
      <c r="F128" s="3618"/>
      <c r="G128" s="3618"/>
      <c r="H128" s="3618"/>
      <c r="I128" s="3618"/>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2" t="str">
        <f>项目基本情况!B1</f>
        <v>房地产抵押价值预评估</v>
      </c>
      <c r="C37" s="3502"/>
      <c r="D37" s="3502"/>
      <c r="E37" s="3502"/>
      <c r="F37" s="3502"/>
      <c r="G37" s="3502"/>
      <c r="H37" s="3502"/>
      <c r="I37" s="350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5" sqref="D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541407</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27071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300730</v>
      </c>
      <c r="D5" s="211" t="s">
        <v>1468</v>
      </c>
      <c r="E5" s="212" t="s">
        <v>1469</v>
      </c>
      <c r="F5" s="212" t="s">
        <v>1470</v>
      </c>
      <c r="G5" s="213"/>
    </row>
    <row r="6" spans="1:9" s="214" customFormat="1" ht="13.5" customHeight="1">
      <c r="A6" s="778" t="s">
        <v>1471</v>
      </c>
      <c r="B6" s="215" t="s">
        <v>1472</v>
      </c>
      <c r="C6" s="216">
        <f>基准地价修正!B2+'基准地价修正(停车楼)'!B2</f>
        <v>287948</v>
      </c>
      <c r="D6" s="217"/>
      <c r="E6" s="218"/>
      <c r="F6" s="218"/>
      <c r="G6" s="219"/>
    </row>
    <row r="7" spans="1:9" s="214" customFormat="1" ht="13.5" customHeight="1">
      <c r="A7" s="778" t="s">
        <v>1473</v>
      </c>
      <c r="B7" s="215" t="s">
        <v>1474</v>
      </c>
      <c r="C7" s="220">
        <f>ROUND(C6*F7,0)</f>
        <v>8782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4000</v>
      </c>
      <c r="D8" s="222"/>
      <c r="E8" s="220"/>
      <c r="F8" s="221"/>
      <c r="G8" s="1855" t="s">
        <v>3470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3471</v>
      </c>
      <c r="H9" s="1137"/>
      <c r="I9" s="1857" t="s">
        <v>1478</v>
      </c>
    </row>
    <row r="10" spans="1:9" s="214" customFormat="1" ht="13.5" customHeight="1">
      <c r="A10" s="779" t="s">
        <v>356</v>
      </c>
      <c r="B10" s="224" t="s">
        <v>1479</v>
      </c>
      <c r="C10" s="225">
        <f ca="1">ROUND(D10*E10/10000,0)</f>
        <v>4000</v>
      </c>
      <c r="D10" s="845">
        <f ca="1">IF(B1="",'数据-汇总表'!E6,IF(INDIRECT("'数据-取费表'!c"&amp;$G$1)="住宅",INDIRECT("'数据-取费表'!s"&amp;$G$1),INDIRECT("'数据-取费表'!k"&amp;$G$1)+INDIRECT("'数据-取费表'!s"&amp;$G$1)))</f>
        <v>199991.93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199991.93</v>
      </c>
      <c r="E19" s="211">
        <f>'数据-取费表'!B31</f>
        <v>200</v>
      </c>
      <c r="F19" s="231"/>
      <c r="G19" s="1855" t="s">
        <v>3472</v>
      </c>
    </row>
    <row r="20" spans="1:7" s="214" customFormat="1" ht="13.5" customHeight="1">
      <c r="A20" s="255" t="s">
        <v>1492</v>
      </c>
      <c r="B20" s="210" t="s">
        <v>1493</v>
      </c>
      <c r="C20" s="232">
        <f ca="1">ROUND((C5+C19)*F20,0)</f>
        <v>9022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32683</v>
      </c>
      <c r="D22" s="235">
        <f ca="1">C26</f>
        <v>1.6000000000000001E-3</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32212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471</v>
      </c>
      <c r="D25" s="238"/>
      <c r="E25" s="241"/>
      <c r="F25" s="239"/>
      <c r="G25" s="242" t="s">
        <v>1509</v>
      </c>
    </row>
    <row r="26" spans="1:7" s="214" customFormat="1">
      <c r="A26" s="780" t="s">
        <v>350</v>
      </c>
      <c r="B26" s="215" t="s">
        <v>1510</v>
      </c>
      <c r="C26" s="238">
        <f ca="1">ROUND(IF('数据-取费表'!B22&lt;=1,F21*F22*'数据-取费表'!B23/2,F21*(POWER((1+F22),'数据-取费表'!B23/2)-1)),4)</f>
        <v>1.6000000000000001E-3</v>
      </c>
      <c r="D26" s="238"/>
      <c r="E26" s="241"/>
      <c r="F26" s="239"/>
      <c r="G26" s="243"/>
    </row>
    <row r="27" spans="1:7" s="214" customFormat="1" ht="24.75">
      <c r="A27" s="255" t="s">
        <v>1511</v>
      </c>
      <c r="B27" s="244" t="s">
        <v>1512</v>
      </c>
      <c r="C27" s="245">
        <f ca="1">C28</f>
        <v>52658</v>
      </c>
      <c r="D27" s="235">
        <f ca="1">C29</f>
        <v>5.1000000000000004E-3</v>
      </c>
      <c r="E27" s="236" t="s">
        <v>1513</v>
      </c>
      <c r="F27" s="246">
        <f ca="1">IF(B1="",'数据-取费表'!Q16,INDIRECT("'数据-取费表'!q"&amp;$G$1))</f>
        <v>0.17</v>
      </c>
      <c r="G27" s="247" t="s">
        <v>1514</v>
      </c>
    </row>
    <row r="28" spans="1:7" s="214" customFormat="1" ht="13.5" customHeight="1">
      <c r="A28" s="780" t="s">
        <v>346</v>
      </c>
      <c r="B28" s="248" t="s">
        <v>1515</v>
      </c>
      <c r="C28" s="249">
        <f ca="1">ROUND((C5+C19+C20)*F27*'数据-取费表'!B21/'数据-取费表'!B20,0)</f>
        <v>52658</v>
      </c>
      <c r="D28" s="235"/>
      <c r="E28" s="236"/>
      <c r="F28" s="246"/>
      <c r="G28" s="247"/>
    </row>
    <row r="29" spans="1:7" s="214" customFormat="1" ht="13.5" customHeight="1">
      <c r="A29" s="780" t="s">
        <v>347</v>
      </c>
      <c r="B29" s="248" t="s">
        <v>1516</v>
      </c>
      <c r="C29" s="238">
        <f ca="1">ROUND(C21*F27*'数据-取费表'!B21/'数据-取费表'!B20,4)</f>
        <v>5.1000000000000004E-3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434168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104757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94608</v>
      </c>
      <c r="D34" s="217"/>
      <c r="E34" s="220"/>
      <c r="F34" s="257">
        <f ca="1">IF('数据-取费表'!B24=0,1,IF(B1="",'数据-取费表'!N16,INDIRECT("'数据-取费表'!n"&amp;$G$1)))</f>
        <v>1</v>
      </c>
      <c r="G34" s="219" t="s">
        <v>1525</v>
      </c>
    </row>
    <row r="35" spans="1:7" ht="13.5" customHeight="1">
      <c r="A35" s="780" t="s">
        <v>351</v>
      </c>
      <c r="B35" s="215" t="s">
        <v>1526</v>
      </c>
      <c r="C35" s="220">
        <f ca="1">ROUND(C34*F35,0)</f>
        <v>4730</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4000</v>
      </c>
      <c r="D37" s="217">
        <f ca="1">D19</f>
        <v>199991.93</v>
      </c>
      <c r="E37" s="249">
        <f>'数据-取费表'!B35</f>
        <v>200</v>
      </c>
      <c r="F37" s="259"/>
      <c r="G37" s="261" t="s">
        <v>1531</v>
      </c>
    </row>
    <row r="38" spans="1:7" ht="13.5" customHeight="1">
      <c r="A38" s="780" t="s">
        <v>354</v>
      </c>
      <c r="B38" s="215" t="s">
        <v>1532</v>
      </c>
      <c r="C38" s="220">
        <f ca="1">ROUND(C34*F38,0)</f>
        <v>1419</v>
      </c>
      <c r="D38" s="220"/>
      <c r="E38" s="220"/>
      <c r="F38" s="259">
        <f>'数据-取费表'!B36</f>
        <v>1.4999999999999999E-2</v>
      </c>
      <c r="G38" s="219" t="s">
        <v>1527</v>
      </c>
    </row>
    <row r="39" spans="1:7" s="214" customFormat="1" ht="13.5" customHeight="1">
      <c r="A39" s="255" t="s">
        <v>1533</v>
      </c>
      <c r="B39" s="210" t="s">
        <v>1534</v>
      </c>
      <c r="C39" s="232">
        <f ca="1">ROUND(C33*F20,0)</f>
        <v>3143</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5632</v>
      </c>
      <c r="D41" s="235">
        <f ca="1">C44</f>
        <v>1.6000000000000001E-3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5468</v>
      </c>
      <c r="D42" s="238"/>
      <c r="E42" s="238"/>
      <c r="F42" s="239"/>
      <c r="G42" s="3688" t="s">
        <v>1543</v>
      </c>
    </row>
    <row r="43" spans="1:7" ht="13.5" customHeight="1">
      <c r="A43" s="780" t="s">
        <v>347</v>
      </c>
      <c r="B43" s="215" t="s">
        <v>1544</v>
      </c>
      <c r="C43" s="238">
        <f ca="1">ROUND(IF('数据-取费表'!B22&lt;=1,C39*F22*'数据-取费表'!B21/2,C39*(POWER((1+F22),'数据-取费表'!B21/2)-1)),0)</f>
        <v>164</v>
      </c>
      <c r="D43" s="238"/>
      <c r="E43" s="238"/>
      <c r="F43" s="239"/>
      <c r="G43" s="3689"/>
    </row>
    <row r="44" spans="1:7" ht="13.5" customHeight="1">
      <c r="A44" s="780" t="s">
        <v>348</v>
      </c>
      <c r="B44" s="215" t="s">
        <v>1545</v>
      </c>
      <c r="C44" s="238">
        <f ca="1">ROUND(IF('数据-取费表'!B22&lt;=1,C40*F22*'数据-取费表'!B21/2,C40*(POWER((1+F22),'数据-取费表'!B21/2)-1)),4)</f>
        <v>1.6000000000000001E-3</v>
      </c>
      <c r="D44" s="238"/>
      <c r="E44" s="238"/>
      <c r="F44" s="239"/>
      <c r="G44" s="3690"/>
    </row>
    <row r="45" spans="1:7" s="214" customFormat="1" ht="13.5" customHeight="1">
      <c r="A45" s="255" t="s">
        <v>1546</v>
      </c>
      <c r="B45" s="244" t="s">
        <v>1512</v>
      </c>
      <c r="C45" s="245">
        <f ca="1">C46</f>
        <v>18343</v>
      </c>
      <c r="D45" s="235">
        <f ca="1">C47</f>
        <v>5.1000000000000004E-3</v>
      </c>
      <c r="E45" s="236" t="s">
        <v>1538</v>
      </c>
      <c r="F45" s="246">
        <f ca="1">F27</f>
        <v>0.17</v>
      </c>
      <c r="G45" s="247" t="s">
        <v>1547</v>
      </c>
    </row>
    <row r="46" spans="1:7" s="214" customFormat="1" ht="13.5" customHeight="1">
      <c r="A46" s="780" t="s">
        <v>346</v>
      </c>
      <c r="B46" s="248" t="s">
        <v>1548</v>
      </c>
      <c r="C46" s="249">
        <f ca="1">ROUND((C33+C39)*F27,0)</f>
        <v>18343</v>
      </c>
      <c r="D46" s="263"/>
      <c r="E46" s="236"/>
      <c r="F46" s="246"/>
      <c r="G46" s="247"/>
    </row>
    <row r="47" spans="1:7" s="214" customFormat="1" ht="13.5" customHeight="1">
      <c r="A47" s="780" t="s">
        <v>347</v>
      </c>
      <c r="B47" s="248" t="s">
        <v>1549</v>
      </c>
      <c r="C47" s="238">
        <f ca="1">ROUND(C40*F27,4)</f>
        <v>5.1000000000000004E-3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144918</v>
      </c>
      <c r="D49" s="232"/>
      <c r="E49" s="232"/>
      <c r="F49" s="264"/>
      <c r="G49" s="234" t="s">
        <v>1553</v>
      </c>
    </row>
    <row r="50" spans="1:7" s="258" customFormat="1" ht="24">
      <c r="A50" s="255" t="s">
        <v>1554</v>
      </c>
      <c r="B50" s="210" t="s">
        <v>1555</v>
      </c>
      <c r="C50" s="232"/>
      <c r="D50" s="232"/>
      <c r="E50" s="232"/>
      <c r="F50" s="264">
        <f>IF('数据-取费表'!B24=0,'数据-取费表'!N16,1)</f>
        <v>0.74</v>
      </c>
      <c r="G50" s="247" t="s">
        <v>1556</v>
      </c>
    </row>
    <row r="51" spans="1:7" ht="16.5" customHeight="1">
      <c r="A51" s="255" t="s">
        <v>1557</v>
      </c>
      <c r="B51" s="210" t="s">
        <v>1558</v>
      </c>
      <c r="C51" s="232">
        <f ca="1">ROUND(C49*F50,0)</f>
        <v>107239</v>
      </c>
      <c r="D51" s="232"/>
      <c r="E51" s="232"/>
      <c r="F51" s="264"/>
      <c r="G51" s="234" t="s">
        <v>1559</v>
      </c>
    </row>
    <row r="52" spans="1:7" s="208" customFormat="1" ht="16.5" thickBot="1">
      <c r="A52" s="265" t="s">
        <v>1560</v>
      </c>
      <c r="B52" s="266"/>
      <c r="C52" s="267">
        <f ca="1">C31+C51</f>
        <v>541407</v>
      </c>
      <c r="D52" s="266"/>
      <c r="E52" s="266"/>
      <c r="F52" s="266"/>
      <c r="G52" s="268"/>
    </row>
    <row r="55" spans="1:7" ht="15">
      <c r="B55" s="270" t="s">
        <v>1561</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118787.8489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5940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39998386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39998386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39998386</v>
      </c>
      <c r="D10" s="845">
        <f ca="1">IF(B1="",'数据-汇总表'!E6,IF(INDIRECT("'数据-取费表'!c"&amp;$G$1)="住宅",INDIRECT("'数据-取费表'!s"&amp;$G$1),INDIRECT("'数据-取费表'!k"&amp;$G$1)+INDIRECT("'数据-取费表'!s"&amp;$G$1)))</f>
        <v>199991.93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39998386</v>
      </c>
      <c r="D19" s="849">
        <f ca="1">D9+D10</f>
        <v>199991.93</v>
      </c>
      <c r="E19" s="211">
        <f>'数据-取费表'!B31</f>
        <v>200</v>
      </c>
      <c r="F19" s="231"/>
      <c r="G19" s="1855"/>
    </row>
    <row r="20" spans="1:7" s="214" customFormat="1" ht="13.5" customHeight="1">
      <c r="A20" s="255" t="s">
        <v>1573</v>
      </c>
      <c r="B20" s="210" t="s">
        <v>1574</v>
      </c>
      <c r="C20" s="232">
        <f ca="1">ROUND((C5+C19)*F20,0)</f>
        <v>2399903</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8693860</v>
      </c>
      <c r="D22" s="235">
        <f ca="1">C26</f>
        <v>1.6000000000000001E-3</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4284300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4284300</v>
      </c>
      <c r="D24" s="238"/>
      <c r="E24" s="238"/>
      <c r="F24" s="239"/>
      <c r="G24" s="240" t="s">
        <v>1585</v>
      </c>
    </row>
    <row r="25" spans="1:7" s="214" customFormat="1" ht="24">
      <c r="A25" s="780" t="s">
        <v>1475</v>
      </c>
      <c r="B25" s="215" t="s">
        <v>1586</v>
      </c>
      <c r="C25" s="1128">
        <f ca="1">ROUND(IF('数据-取费表'!B22&lt;=1,C20*F22*'数据-取费表'!B22/2,C20*(POWER((1+F22),'数据-取费表'!B22/2)-1)),0)</f>
        <v>125260</v>
      </c>
      <c r="D25" s="238"/>
      <c r="E25" s="241"/>
      <c r="F25" s="239"/>
      <c r="G25" s="242" t="s">
        <v>1587</v>
      </c>
    </row>
    <row r="26" spans="1:7" s="214" customFormat="1">
      <c r="A26" s="780" t="s">
        <v>350</v>
      </c>
      <c r="B26" s="215" t="s">
        <v>1510</v>
      </c>
      <c r="C26" s="238">
        <f ca="1">ROUND(IF('数据-取费表'!B22&lt;=1,F21*F22*'数据-取费表'!B22/2,F21*(POWER((1+F22),'数据-取费表'!B22/2)-1)),4)</f>
        <v>1.6000000000000001E-3</v>
      </c>
      <c r="D26" s="238"/>
      <c r="E26" s="241"/>
      <c r="F26" s="239"/>
      <c r="G26" s="243"/>
    </row>
    <row r="27" spans="1:7" s="214" customFormat="1" ht="24.75">
      <c r="A27" s="255" t="s">
        <v>1511</v>
      </c>
      <c r="B27" s="244" t="s">
        <v>1512</v>
      </c>
      <c r="C27" s="245">
        <f ca="1">C28</f>
        <v>14007435</v>
      </c>
      <c r="D27" s="235">
        <f ca="1">C29</f>
        <v>5.1000000000000004E-3</v>
      </c>
      <c r="E27" s="236" t="s">
        <v>1513</v>
      </c>
      <c r="F27" s="246">
        <f ca="1">IF(B1="",'数据-取费表'!Q16,INDIRECT("'数据-取费表'!q"&amp;$G$1))</f>
        <v>0.17</v>
      </c>
      <c r="G27" s="247" t="s">
        <v>1514</v>
      </c>
    </row>
    <row r="28" spans="1:7" s="214" customFormat="1" ht="13.5" customHeight="1">
      <c r="A28" s="780" t="s">
        <v>346</v>
      </c>
      <c r="B28" s="248" t="s">
        <v>1515</v>
      </c>
      <c r="C28" s="249">
        <f ca="1">ROUND((C5+C19+C20)*F27,0)</f>
        <v>14007435</v>
      </c>
      <c r="D28" s="235"/>
      <c r="E28" s="236"/>
      <c r="F28" s="246"/>
      <c r="G28" s="247"/>
    </row>
    <row r="29" spans="1:7" s="214" customFormat="1" ht="13.5" customHeight="1">
      <c r="A29" s="780" t="s">
        <v>347</v>
      </c>
      <c r="B29" s="248" t="s">
        <v>1516</v>
      </c>
      <c r="C29" s="238">
        <f ca="1">ROUND(C21*F27,4)</f>
        <v>5.1000000000000004E-3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115492275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1047571297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946077850</v>
      </c>
      <c r="D34" s="217"/>
      <c r="E34" s="220"/>
      <c r="F34" s="257"/>
      <c r="G34" s="219"/>
    </row>
    <row r="35" spans="1:7" ht="13.5" customHeight="1">
      <c r="A35" s="780" t="s">
        <v>351</v>
      </c>
      <c r="B35" s="215" t="s">
        <v>1526</v>
      </c>
      <c r="C35" s="220">
        <f ca="1">ROUND(C34*F35,0)</f>
        <v>47303893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39998386</v>
      </c>
      <c r="D37" s="217">
        <f ca="1">D19</f>
        <v>199991.93</v>
      </c>
      <c r="E37" s="249">
        <f>'数据-取费表'!B35</f>
        <v>200</v>
      </c>
      <c r="F37" s="259"/>
      <c r="G37" s="261"/>
    </row>
    <row r="38" spans="1:7" ht="13.5" customHeight="1">
      <c r="A38" s="780" t="s">
        <v>354</v>
      </c>
      <c r="B38" s="215" t="s">
        <v>1532</v>
      </c>
      <c r="C38" s="220">
        <f ca="1">ROUND(C34*F38,0)</f>
        <v>14191168</v>
      </c>
      <c r="D38" s="220"/>
      <c r="E38" s="220"/>
      <c r="F38" s="259">
        <f>'数据-取费表'!B36</f>
        <v>1.4999999999999999E-2</v>
      </c>
      <c r="G38" s="219" t="s">
        <v>1527</v>
      </c>
    </row>
    <row r="39" spans="1:7" s="214" customFormat="1" ht="13.5" customHeight="1">
      <c r="A39" s="255" t="s">
        <v>1533</v>
      </c>
      <c r="B39" s="210" t="s">
        <v>1534</v>
      </c>
      <c r="C39" s="232">
        <f ca="1">ROUND(C33*F20,0)</f>
        <v>31427139</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56317039</v>
      </c>
      <c r="D41" s="235">
        <f ca="1">C44</f>
        <v>1.6000000000000001E-3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54676737</v>
      </c>
      <c r="D42" s="238"/>
      <c r="E42" s="238"/>
      <c r="F42" s="239"/>
      <c r="G42" s="3688" t="s">
        <v>1590</v>
      </c>
    </row>
    <row r="43" spans="1:7" ht="13.5" customHeight="1">
      <c r="A43" s="780" t="s">
        <v>347</v>
      </c>
      <c r="B43" s="215" t="s">
        <v>1544</v>
      </c>
      <c r="C43" s="238">
        <f ca="1">ROUND(IF('数据-取费表'!B22&lt;=1,C39*F22*'数据-取费表'!B20/2,C39*(POWER((1+F22),'数据-取费表'!B20/2)-1)),0)</f>
        <v>1640302</v>
      </c>
      <c r="D43" s="238"/>
      <c r="E43" s="238"/>
      <c r="F43" s="239"/>
      <c r="G43" s="3689"/>
    </row>
    <row r="44" spans="1:7" ht="13.5" customHeight="1">
      <c r="A44" s="780" t="s">
        <v>348</v>
      </c>
      <c r="B44" s="215" t="s">
        <v>1545</v>
      </c>
      <c r="C44" s="238">
        <f ca="1">ROUND(IF('数据-取费表'!B22&lt;=1,C40*F22*'数据-取费表'!B20/2,C40*(POWER((1+F22),'数据-取费表'!B20/2)-1)),4)</f>
        <v>1.6000000000000001E-3</v>
      </c>
      <c r="D44" s="238"/>
      <c r="E44" s="238"/>
      <c r="F44" s="239"/>
      <c r="G44" s="3690"/>
    </row>
    <row r="45" spans="1:7" s="214" customFormat="1" ht="13.5" customHeight="1">
      <c r="A45" s="255" t="s">
        <v>1546</v>
      </c>
      <c r="B45" s="244" t="s">
        <v>1512</v>
      </c>
      <c r="C45" s="245">
        <f ca="1">C46</f>
        <v>183429734</v>
      </c>
      <c r="D45" s="235">
        <f ca="1">C47</f>
        <v>5.1000000000000004E-3</v>
      </c>
      <c r="E45" s="236" t="s">
        <v>1538</v>
      </c>
      <c r="F45" s="246">
        <f ca="1">F27</f>
        <v>0.17</v>
      </c>
      <c r="G45" s="247" t="s">
        <v>1547</v>
      </c>
    </row>
    <row r="46" spans="1:7" s="214" customFormat="1" ht="13.5" customHeight="1">
      <c r="A46" s="780" t="s">
        <v>346</v>
      </c>
      <c r="B46" s="248" t="s">
        <v>1548</v>
      </c>
      <c r="C46" s="249">
        <f ca="1">ROUND((C33+C39)*F27,0)</f>
        <v>183429734</v>
      </c>
      <c r="D46" s="263"/>
      <c r="E46" s="236"/>
      <c r="F46" s="246"/>
      <c r="G46" s="247"/>
    </row>
    <row r="47" spans="1:7" s="214" customFormat="1" ht="13.5" customHeight="1">
      <c r="A47" s="780" t="s">
        <v>347</v>
      </c>
      <c r="B47" s="248" t="s">
        <v>1549</v>
      </c>
      <c r="C47" s="238">
        <f ca="1">ROUND(C40*F27,4)</f>
        <v>5.1000000000000004E-3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1449170559</v>
      </c>
      <c r="D49" s="232"/>
      <c r="E49" s="232"/>
      <c r="F49" s="264"/>
      <c r="G49" s="234" t="s">
        <v>1553</v>
      </c>
    </row>
    <row r="50" spans="1:7" s="258" customFormat="1">
      <c r="A50" s="255" t="s">
        <v>1554</v>
      </c>
      <c r="B50" s="210" t="s">
        <v>1555</v>
      </c>
      <c r="C50" s="232"/>
      <c r="D50" s="232"/>
      <c r="E50" s="232"/>
      <c r="F50" s="264">
        <f>IF('数据-取费表'!B24=0,'数据-取费表'!N16,1)</f>
        <v>0.74</v>
      </c>
      <c r="G50" s="247"/>
    </row>
    <row r="51" spans="1:7" ht="16.5" customHeight="1">
      <c r="A51" s="255" t="s">
        <v>1557</v>
      </c>
      <c r="B51" s="210" t="s">
        <v>1592</v>
      </c>
      <c r="C51" s="232">
        <f ca="1">ROUND(C49*F50,0)</f>
        <v>1072386214</v>
      </c>
      <c r="D51" s="232"/>
      <c r="E51" s="232"/>
      <c r="F51" s="264"/>
      <c r="G51" s="234" t="s">
        <v>1559</v>
      </c>
    </row>
    <row r="52" spans="1:7" s="208" customFormat="1" ht="16.5" thickBot="1">
      <c r="A52" s="265" t="s">
        <v>1560</v>
      </c>
      <c r="B52" s="266"/>
      <c r="C52" s="267">
        <f ca="1">C31+C51</f>
        <v>1187878489</v>
      </c>
      <c r="D52" s="266"/>
      <c r="E52" s="266"/>
      <c r="F52" s="266"/>
      <c r="G52" s="268"/>
    </row>
    <row r="55" spans="1:7" ht="15">
      <c r="B55" s="270" t="s">
        <v>1561</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199991.93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199991.93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4000</v>
      </c>
      <c r="D20" s="846">
        <f ca="1">IF(C1="",'数据-汇总表'!E6,IF(INDIRECT("'数据-取费表'!c"&amp;$K$1)="住宅",INDIRECT("'数据-取费表'!s"&amp;$K$1),INDIRECT("'数据-取费表'!k"&amp;$K$1)+INDIRECT("'数据-取费表'!s"&amp;$K$1)))</f>
        <v>199991.93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20.67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447690</v>
      </c>
      <c r="C2" s="1386" t="s">
        <v>805</v>
      </c>
      <c r="D2" s="1386"/>
      <c r="E2" s="1387"/>
      <c r="F2" s="1388"/>
      <c r="G2" s="2705"/>
      <c r="H2" s="2694"/>
      <c r="I2" s="2694"/>
      <c r="J2" s="2694"/>
      <c r="K2" s="2695"/>
      <c r="L2" s="2694"/>
      <c r="M2" s="2694"/>
    </row>
    <row r="3" spans="1:37" ht="18" customHeight="1" thickBot="1">
      <c r="A3" s="1389" t="s">
        <v>806</v>
      </c>
      <c r="B3" s="1390">
        <f ca="1">IF(ISERROR(B2*10000/F43),0,ROUND(B2*10000/F43,0))</f>
        <v>30641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38045</v>
      </c>
      <c r="D5" s="1363" t="s">
        <v>693</v>
      </c>
      <c r="E5" s="1071"/>
      <c r="F5" s="1072"/>
      <c r="G5" s="1383"/>
      <c r="H5" s="299">
        <v>1</v>
      </c>
      <c r="I5" s="300" t="s">
        <v>692</v>
      </c>
      <c r="J5" s="1070">
        <f ca="1">J6+J10+J12</f>
        <v>0</v>
      </c>
      <c r="K5" s="1363" t="s">
        <v>693</v>
      </c>
      <c r="L5" s="1071"/>
      <c r="M5" s="1072"/>
    </row>
    <row r="6" spans="1:37" ht="18" customHeight="1">
      <c r="A6" s="1069" t="s">
        <v>398</v>
      </c>
      <c r="B6" s="3693" t="s">
        <v>694</v>
      </c>
      <c r="C6" s="1074">
        <f ca="1">ROUND(F6*F8*F7*(1-F9)/10000,0)</f>
        <v>37998</v>
      </c>
      <c r="D6" s="155" t="s">
        <v>2108</v>
      </c>
      <c r="E6" s="302" t="s">
        <v>696</v>
      </c>
      <c r="F6" s="303">
        <f ca="1">INDIRECT("'数据-取费表'!u"&amp;$G$1)</f>
        <v>7.5</v>
      </c>
      <c r="G6" s="1383"/>
      <c r="H6" s="1069" t="s">
        <v>398</v>
      </c>
      <c r="I6" s="3693" t="s">
        <v>694</v>
      </c>
      <c r="J6" s="301">
        <f ca="1">ROUND(M6*M8*M7*(1-M9)/10000,0)</f>
        <v>0</v>
      </c>
      <c r="K6" s="155"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146110.13</v>
      </c>
      <c r="G7" s="1383"/>
      <c r="H7" s="304"/>
      <c r="I7" s="3694"/>
      <c r="J7" s="306"/>
      <c r="K7" s="307"/>
      <c r="L7" s="302" t="s">
        <v>697</v>
      </c>
      <c r="M7" s="303">
        <f ca="1">F7</f>
        <v>146110.13</v>
      </c>
    </row>
    <row r="8" spans="1:37" ht="18" customHeight="1">
      <c r="A8" s="304"/>
      <c r="B8" s="3694"/>
      <c r="C8" s="306"/>
      <c r="D8" s="307"/>
      <c r="E8" s="302" t="s">
        <v>698</v>
      </c>
      <c r="F8" s="303">
        <f ca="1">INDIRECT("'数据-取费表'!ai"&amp;$G$1)</f>
        <v>365</v>
      </c>
      <c r="G8" s="1383"/>
      <c r="H8" s="304"/>
      <c r="I8" s="3694"/>
      <c r="J8" s="306"/>
      <c r="K8" s="307"/>
      <c r="L8" s="302" t="s">
        <v>698</v>
      </c>
      <c r="M8" s="303">
        <f ca="1">INDIRECT("'数据-取费表'!ai"&amp;$G$1)</f>
        <v>365</v>
      </c>
    </row>
    <row r="9" spans="1:37" ht="18" customHeight="1">
      <c r="A9" s="304"/>
      <c r="B9" s="3695"/>
      <c r="C9" s="306"/>
      <c r="D9" s="307"/>
      <c r="E9" s="302" t="s">
        <v>699</v>
      </c>
      <c r="F9" s="312">
        <f ca="1">INDIRECT("'数据-取费表'!w"&amp;$G$1)</f>
        <v>0.05</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47</v>
      </c>
      <c r="D10" s="1365" t="s">
        <v>2116</v>
      </c>
      <c r="E10" s="313" t="s">
        <v>701</v>
      </c>
      <c r="F10" s="1116" t="s">
        <v>3443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84910</v>
      </c>
      <c r="D13" s="1081" t="s">
        <v>705</v>
      </c>
      <c r="E13" s="1081" t="s">
        <v>706</v>
      </c>
      <c r="F13" s="1082">
        <f ca="1">INDIRECT("'数据-取费表'!y"&amp;$G$1)</f>
        <v>0.74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73191</v>
      </c>
      <c r="D14" s="1344" t="s">
        <v>708</v>
      </c>
      <c r="E14" s="1341"/>
      <c r="F14" s="319"/>
      <c r="G14" s="1383"/>
      <c r="H14" s="982" t="s">
        <v>398</v>
      </c>
      <c r="I14" s="302" t="s">
        <v>709</v>
      </c>
      <c r="J14" s="21">
        <f ca="1">C29</f>
        <v>114743</v>
      </c>
      <c r="K14" s="12"/>
      <c r="L14" s="807"/>
      <c r="M14" s="808"/>
    </row>
    <row r="15" spans="1:37" s="1396" customFormat="1" ht="18" customHeight="1" thickBot="1">
      <c r="A15" s="982" t="s">
        <v>399</v>
      </c>
      <c r="B15" s="302" t="s">
        <v>710</v>
      </c>
      <c r="C15" s="21">
        <f ca="1">ROUND(C14*F15,0)</f>
        <v>3660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1192</v>
      </c>
      <c r="K16" s="1087" t="s">
        <v>715</v>
      </c>
      <c r="L16" s="1088"/>
      <c r="M16" s="1072"/>
    </row>
    <row r="17" spans="1:37" s="1396" customFormat="1" ht="18" customHeight="1">
      <c r="A17" s="982" t="s">
        <v>681</v>
      </c>
      <c r="B17" s="302" t="s">
        <v>716</v>
      </c>
      <c r="C17" s="21">
        <f ca="1">ROUND(F17*(F43+INDIRECT("'数据-取费表'!S"&amp;$G$1))/10000,0)</f>
        <v>2929</v>
      </c>
      <c r="D17" s="302" t="s">
        <v>717</v>
      </c>
      <c r="E17" s="302" t="s">
        <v>718</v>
      </c>
      <c r="F17" s="23">
        <f>'数据-取费表'!B35</f>
        <v>200</v>
      </c>
      <c r="G17" s="1395"/>
      <c r="H17" s="982" t="s">
        <v>398</v>
      </c>
      <c r="I17" s="302" t="s">
        <v>719</v>
      </c>
      <c r="J17" s="2315">
        <f ca="1">ROUND(IF(AND(项目基本情况!B11="自然人",项目基本情况!B10="北京市"),J6*M17/(1+'数据-取费表'!C42),J18+J19+J20),2)</f>
        <v>44.54</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1098</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80878</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2426</v>
      </c>
      <c r="D20" s="323" t="s">
        <v>729</v>
      </c>
      <c r="E20" s="302" t="s">
        <v>712</v>
      </c>
      <c r="F20" s="322">
        <f>'数据-取费表'!B37</f>
        <v>0.03</v>
      </c>
      <c r="G20" s="1395"/>
      <c r="H20" s="982" t="s">
        <v>680</v>
      </c>
      <c r="I20" s="155" t="s">
        <v>730</v>
      </c>
      <c r="J20" s="22">
        <f ca="1">ROUND(M20*M21/10000,2)</f>
        <v>44.54</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37117.51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1147.43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4348</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-1192</v>
      </c>
      <c r="K25" s="1095" t="s">
        <v>753</v>
      </c>
      <c r="L25" s="1096"/>
      <c r="M25" s="1097"/>
    </row>
    <row r="26" spans="1:37">
      <c r="A26" s="982" t="s">
        <v>397</v>
      </c>
      <c r="B26" s="302" t="s">
        <v>754</v>
      </c>
      <c r="C26" s="21">
        <f ca="1">ROUND((C19+C20)*F26,0)</f>
        <v>16661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114743</v>
      </c>
      <c r="D29" s="1092"/>
      <c r="E29" s="1090"/>
      <c r="F29" s="1093"/>
      <c r="G29" s="1395"/>
      <c r="H29" s="334" t="s">
        <v>396</v>
      </c>
      <c r="I29" s="335" t="s">
        <v>768</v>
      </c>
      <c r="J29" s="336">
        <f ca="1">ROUND(J26/(1+F40)^F41,0)</f>
        <v>0</v>
      </c>
      <c r="K29" s="337" t="s">
        <v>769</v>
      </c>
      <c r="L29" s="338"/>
      <c r="M29" s="339">
        <f ca="1">INDIRECT("'数据-取费表'!k"&amp;$G$1)</f>
        <v>146110.13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8830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6413.73</v>
      </c>
      <c r="D31" s="1344" t="s">
        <v>720</v>
      </c>
      <c r="E31" s="1343"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2" t="s">
        <v>397</v>
      </c>
      <c r="B32" s="302" t="s">
        <v>723</v>
      </c>
      <c r="C32" s="21">
        <f ca="1">IF(项目基本情况!B11="自然人","——",ROUND(C6*F32/(1+'数据-取费表'!C42),2))</f>
        <v>2026.56</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4342.63</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44.54</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37117.51</v>
      </c>
      <c r="G35" s="1383"/>
      <c r="H35" s="2696"/>
      <c r="I35" s="1397"/>
      <c r="J35" s="1398"/>
      <c r="K35" s="2700"/>
      <c r="L35" s="2699"/>
      <c r="M35" s="2699"/>
    </row>
    <row r="36" spans="1:18" ht="18" customHeight="1">
      <c r="A36" s="1102" t="s">
        <v>402</v>
      </c>
      <c r="B36" s="302" t="s">
        <v>738</v>
      </c>
      <c r="C36" s="21">
        <f ca="1">ROUND(C29*F36,2)</f>
        <v>1147.43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127.37</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1141.3499999999999</v>
      </c>
      <c r="D38" s="1092" t="s">
        <v>748</v>
      </c>
      <c r="E38" s="1090" t="s">
        <v>744</v>
      </c>
      <c r="F38" s="1086">
        <f ca="1">INDIRECT("'数据-取费表'!Am"&amp;$G$1)</f>
        <v>0.03</v>
      </c>
      <c r="G38" s="1383"/>
      <c r="H38" s="2699"/>
      <c r="I38" s="1397"/>
      <c r="J38" s="1398"/>
      <c r="K38" s="2703"/>
      <c r="L38" s="2699"/>
      <c r="M38" s="2699"/>
    </row>
    <row r="39" spans="1:18" ht="24.6" customHeight="1" thickTop="1">
      <c r="A39" s="1079" t="s">
        <v>394</v>
      </c>
      <c r="B39" s="1094" t="s">
        <v>772</v>
      </c>
      <c r="C39" s="310">
        <f ca="1">C5-C30</f>
        <v>29215</v>
      </c>
      <c r="D39" s="1095" t="s">
        <v>773</v>
      </c>
      <c r="E39" s="1096"/>
      <c r="F39" s="1097"/>
      <c r="G39" s="1383"/>
      <c r="H39" s="2699"/>
      <c r="I39" s="1397">
        <f ca="1">C39/C5</f>
        <v>0.76790642660007891</v>
      </c>
      <c r="J39" s="1398"/>
      <c r="K39" s="2703"/>
      <c r="L39" s="2699"/>
      <c r="M39" s="2699"/>
    </row>
    <row r="40" spans="1:18" ht="18" customHeight="1">
      <c r="A40" s="299" t="s">
        <v>395</v>
      </c>
      <c r="B40" s="300" t="s">
        <v>774</v>
      </c>
      <c r="C40" s="301">
        <f ca="1">ROUND(C39*(1-((1+F42)/(1+F40))^F41)/(F40-F42),0)</f>
        <v>437396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20.67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29936</v>
      </c>
      <c r="D43" s="337" t="s">
        <v>777</v>
      </c>
      <c r="E43" s="338" t="s">
        <v>778</v>
      </c>
      <c r="F43" s="339">
        <f ca="1">INDIRECT("'数据-取费表'!k"&amp;$G$1)</f>
        <v>146110.13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-453460</v>
      </c>
      <c r="D46" s="1405" t="str">
        <f>C2</f>
        <v>万元</v>
      </c>
      <c r="E46" s="1399"/>
      <c r="F46" s="1399"/>
      <c r="I46" s="1406" t="s">
        <v>810</v>
      </c>
      <c r="J46" s="1407"/>
      <c r="K46" s="1408"/>
      <c r="L46" s="1409">
        <f ca="1">IF(M47="住宅",0,IF(L48&gt;J51,L60,J60))</f>
        <v>10294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40</v>
      </c>
      <c r="M47" s="1379" t="str">
        <f>IF(ISNUMBER(FIND("住宅",C1)),"住宅","非住宅")</f>
        <v>非住宅</v>
      </c>
      <c r="O47" s="1417" t="s">
        <v>403</v>
      </c>
      <c r="P47" s="1418" t="s">
        <v>817</v>
      </c>
      <c r="Q47" s="1419">
        <f ca="1">C40+J29</f>
        <v>437396</v>
      </c>
      <c r="R47" s="1419" t="s">
        <v>818</v>
      </c>
    </row>
    <row r="48" spans="1:18" s="1383" customFormat="1" ht="28.5" thickBot="1">
      <c r="A48" s="1110" t="s">
        <v>438</v>
      </c>
      <c r="B48" s="300" t="s">
        <v>692</v>
      </c>
      <c r="C48" s="1358">
        <f ca="1">C49+C53+C55</f>
        <v>0</v>
      </c>
      <c r="D48" s="1112"/>
      <c r="E48" s="1113"/>
      <c r="F48" s="962"/>
      <c r="G48" s="722"/>
      <c r="H48" s="723"/>
      <c r="I48" s="1420" t="s">
        <v>819</v>
      </c>
      <c r="J48" s="1421" t="s">
        <v>3445</v>
      </c>
      <c r="K48" s="1422" t="s">
        <v>820</v>
      </c>
      <c r="L48" s="1423">
        <f ca="1">INDIRECT("'数据-取费表'!f"&amp;$G$1)</f>
        <v>20.67</v>
      </c>
      <c r="O48" s="1417" t="s">
        <v>404</v>
      </c>
      <c r="P48" s="1418" t="s">
        <v>821</v>
      </c>
      <c r="Q48" s="1419">
        <f ca="1">J60</f>
        <v>10294</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2004</v>
      </c>
      <c r="K49" s="1422" t="s">
        <v>824</v>
      </c>
      <c r="L49" s="1426"/>
      <c r="O49" s="1427" t="s">
        <v>405</v>
      </c>
      <c r="P49" s="1418" t="s">
        <v>825</v>
      </c>
      <c r="Q49" s="1419">
        <f ca="1">C29</f>
        <v>114743</v>
      </c>
      <c r="R49" s="1419" t="s">
        <v>818</v>
      </c>
    </row>
    <row r="50" spans="1:18" s="1383" customFormat="1" ht="13.5" thickBot="1">
      <c r="A50" s="976"/>
      <c r="B50" s="979"/>
      <c r="C50" s="1118"/>
      <c r="D50" s="953"/>
      <c r="E50" s="1056" t="s">
        <v>697</v>
      </c>
      <c r="F50" s="1057">
        <f ca="1">F7</f>
        <v>146110.13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402462</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20.67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20.67</v>
      </c>
      <c r="K53" s="3691" t="s">
        <v>837</v>
      </c>
      <c r="L53" s="3692"/>
      <c r="O53" s="1417" t="s">
        <v>409</v>
      </c>
      <c r="P53" s="1418" t="s">
        <v>838</v>
      </c>
      <c r="Q53" s="1419">
        <f ca="1">Q47+Q48</f>
        <v>447690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0.33900000000000002</v>
      </c>
      <c r="K55" s="1444" t="s">
        <v>841</v>
      </c>
      <c r="L55" s="1445"/>
      <c r="O55" s="1410" t="s">
        <v>811</v>
      </c>
      <c r="P55" s="1411" t="s">
        <v>812</v>
      </c>
      <c r="Q55" s="1412" t="s">
        <v>813</v>
      </c>
      <c r="R55" s="1412" t="s">
        <v>814</v>
      </c>
    </row>
    <row r="56" spans="1:18" s="1383" customFormat="1" ht="25.5" thickTop="1" thickBot="1">
      <c r="A56" s="957">
        <v>2</v>
      </c>
      <c r="B56" s="958" t="s">
        <v>704</v>
      </c>
      <c r="C56" s="232">
        <f ca="1">C13</f>
        <v>84910</v>
      </c>
      <c r="D56" s="1446"/>
      <c r="E56" s="1447"/>
      <c r="F56" s="1439"/>
      <c r="I56" s="1448" t="s">
        <v>842</v>
      </c>
      <c r="J56" s="1449" t="s">
        <v>3387</v>
      </c>
      <c r="K56" s="1420" t="s">
        <v>843</v>
      </c>
      <c r="L56" s="1423" t="str">
        <f ca="1">IF(L48&lt;J51,"——",L48-J53)</f>
        <v>——</v>
      </c>
      <c r="O56" s="1417" t="s">
        <v>403</v>
      </c>
      <c r="P56" s="1418" t="s">
        <v>817</v>
      </c>
      <c r="Q56" s="1419">
        <f ca="1">C40+J29</f>
        <v>437396</v>
      </c>
      <c r="R56" s="1419" t="s">
        <v>818</v>
      </c>
    </row>
    <row r="57" spans="1:18" s="1383" customFormat="1" ht="24.75" thickBot="1">
      <c r="A57" s="1450"/>
      <c r="B57" s="950" t="s">
        <v>767</v>
      </c>
      <c r="C57" s="238">
        <f ca="1">C29</f>
        <v>114743</v>
      </c>
      <c r="D57" s="1451"/>
      <c r="E57" s="1452"/>
      <c r="F57" s="1453"/>
      <c r="I57" s="1454" t="s">
        <v>844</v>
      </c>
      <c r="J57" s="1455">
        <f ca="1">IF(OR(M47="住宅",J51&lt;L48,J56="是"),"——",J51-L48)</f>
        <v>20.329999999999998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1320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45</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45897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10294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44.54</v>
      </c>
      <c r="D62" s="965" t="s">
        <v>786</v>
      </c>
      <c r="E62" s="950" t="s">
        <v>787</v>
      </c>
      <c r="F62" s="325">
        <f t="shared" si="0"/>
        <v>12</v>
      </c>
      <c r="I62" s="1461" t="s">
        <v>858</v>
      </c>
      <c r="J62" s="1462" t="s">
        <v>859</v>
      </c>
      <c r="K62" s="1462" t="s">
        <v>860</v>
      </c>
      <c r="L62" s="1462" t="s">
        <v>861</v>
      </c>
      <c r="M62" s="1463" t="s">
        <v>862</v>
      </c>
      <c r="O62" s="1417" t="s">
        <v>409</v>
      </c>
      <c r="P62" s="1418" t="s">
        <v>863</v>
      </c>
      <c r="Q62" s="1419">
        <f ca="1">Q56+Q57</f>
        <v>437396</v>
      </c>
      <c r="R62" s="1419" t="s">
        <v>410</v>
      </c>
    </row>
    <row r="63" spans="1:18" s="1383" customFormat="1" ht="13.5" thickBot="1">
      <c r="A63" s="326"/>
      <c r="B63" s="956"/>
      <c r="C63" s="26"/>
      <c r="D63" s="966"/>
      <c r="E63" s="950" t="s">
        <v>788</v>
      </c>
      <c r="F63" s="303">
        <f t="shared" ca="1" si="0"/>
        <v>37117.51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1147.43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127.37</v>
      </c>
      <c r="D65" s="964" t="s">
        <v>743</v>
      </c>
      <c r="E65" s="950" t="s">
        <v>744</v>
      </c>
      <c r="F65" s="330">
        <f t="shared" ca="1" si="0"/>
        <v>1.5E-3</v>
      </c>
      <c r="I65" s="1461" t="s">
        <v>867</v>
      </c>
      <c r="J65" s="1462">
        <v>40</v>
      </c>
      <c r="K65" s="1462">
        <v>30</v>
      </c>
      <c r="L65" s="1462">
        <v>50</v>
      </c>
      <c r="M65" s="1464">
        <v>0.02</v>
      </c>
      <c r="O65" s="1417" t="s">
        <v>403</v>
      </c>
      <c r="P65" s="1418" t="s">
        <v>868</v>
      </c>
      <c r="Q65" s="1419">
        <f ca="1">C40+J29</f>
        <v>437396</v>
      </c>
      <c r="R65" s="1419" t="s">
        <v>818</v>
      </c>
    </row>
    <row r="66" spans="1:18" s="1383" customFormat="1" ht="16.5" thickBot="1">
      <c r="A66" s="982" t="s">
        <v>793</v>
      </c>
      <c r="B66" s="950" t="s">
        <v>728</v>
      </c>
      <c r="C66" s="21">
        <f ca="1">ROUND(C48*F66,2)</f>
        <v>0</v>
      </c>
      <c r="D66" s="964" t="s">
        <v>794</v>
      </c>
      <c r="E66" s="950" t="s">
        <v>712</v>
      </c>
      <c r="F66" s="312">
        <f t="shared" ca="1" si="0"/>
        <v>0.03</v>
      </c>
      <c r="O66" s="1417" t="s">
        <v>404</v>
      </c>
      <c r="P66" s="1418" t="s">
        <v>846</v>
      </c>
      <c r="Q66" s="1419">
        <f ca="1">L60</f>
        <v>0</v>
      </c>
      <c r="R66" s="1419" t="s">
        <v>869</v>
      </c>
    </row>
    <row r="67" spans="1:18" s="1383" customFormat="1" ht="16.5" thickBot="1">
      <c r="A67" s="957" t="s">
        <v>394</v>
      </c>
      <c r="B67" s="967" t="s">
        <v>752</v>
      </c>
      <c r="C67" s="316">
        <f ca="1">C48-C58</f>
        <v>-1320</v>
      </c>
      <c r="D67" s="963" t="s">
        <v>753</v>
      </c>
      <c r="E67" s="968"/>
      <c r="F67" s="969"/>
      <c r="O67" s="1427" t="s">
        <v>405</v>
      </c>
      <c r="P67" s="1418" t="s">
        <v>850</v>
      </c>
      <c r="Q67" s="1465">
        <f ca="1">L51</f>
        <v>402462</v>
      </c>
      <c r="R67" s="1419" t="s">
        <v>870</v>
      </c>
    </row>
    <row r="68" spans="1:18" s="1383" customFormat="1" ht="16.5" thickBot="1">
      <c r="A68" s="947" t="s">
        <v>395</v>
      </c>
      <c r="B68" s="948" t="s">
        <v>774</v>
      </c>
      <c r="C68" s="301">
        <f ca="1">ROUND(C67*(1-((1+F70)/(1+F68))^F69)/(F68-F70),0)</f>
        <v>-16064</v>
      </c>
      <c r="D68" s="965" t="s">
        <v>758</v>
      </c>
      <c r="E68" s="950" t="s">
        <v>759</v>
      </c>
      <c r="F68" s="312">
        <f ca="1">F40</f>
        <v>5.5E-2</v>
      </c>
      <c r="O68" s="1427" t="s">
        <v>406</v>
      </c>
      <c r="P68" s="1466" t="s">
        <v>871</v>
      </c>
      <c r="Q68" s="1419">
        <f ca="1">ROUND(Q69-Q70*Q71,0)</f>
        <v>23271</v>
      </c>
      <c r="R68" s="1419" t="s">
        <v>414</v>
      </c>
    </row>
    <row r="69" spans="1:18" s="1383" customFormat="1" ht="13.5" thickBot="1">
      <c r="A69" s="951"/>
      <c r="B69" s="952"/>
      <c r="C69" s="306"/>
      <c r="D69" s="970" t="s">
        <v>762</v>
      </c>
      <c r="E69" s="950" t="s">
        <v>763</v>
      </c>
      <c r="F69" s="333">
        <f ca="1">F41</f>
        <v>20.67</v>
      </c>
      <c r="O69" s="1427" t="s">
        <v>411</v>
      </c>
      <c r="P69" s="1466" t="s">
        <v>872</v>
      </c>
      <c r="Q69" s="1419">
        <f ca="1">C39</f>
        <v>29215</v>
      </c>
      <c r="R69" s="1419" t="s">
        <v>818</v>
      </c>
    </row>
    <row r="70" spans="1:18" s="1383" customFormat="1" ht="13.5" thickBot="1">
      <c r="A70" s="954"/>
      <c r="B70" s="955"/>
      <c r="C70" s="310"/>
      <c r="D70" s="966"/>
      <c r="E70" s="950" t="s">
        <v>766</v>
      </c>
      <c r="F70" s="1054"/>
      <c r="O70" s="1427" t="s">
        <v>412</v>
      </c>
      <c r="P70" s="1466" t="s">
        <v>873</v>
      </c>
      <c r="Q70" s="1419">
        <f ca="1">C13</f>
        <v>84910</v>
      </c>
      <c r="R70" s="1419" t="s">
        <v>818</v>
      </c>
    </row>
    <row r="71" spans="1:18" s="1383" customFormat="1" ht="13.5" thickBot="1">
      <c r="A71" s="971" t="s">
        <v>396</v>
      </c>
      <c r="B71" s="972" t="s">
        <v>776</v>
      </c>
      <c r="C71" s="336">
        <f ca="1">ROUND(C68*10000/F71,0)</f>
        <v>-1099</v>
      </c>
      <c r="D71" s="973" t="s">
        <v>777</v>
      </c>
      <c r="E71" s="974" t="s">
        <v>778</v>
      </c>
      <c r="F71" s="339">
        <f ca="1">F43</f>
        <v>146110.13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5944</v>
      </c>
      <c r="D75" s="1383"/>
      <c r="E75" s="1383"/>
      <c r="F75" s="1383"/>
      <c r="K75" s="1401"/>
      <c r="L75" s="1383"/>
      <c r="O75" s="1417" t="s">
        <v>409</v>
      </c>
      <c r="P75" s="1418" t="s">
        <v>838</v>
      </c>
      <c r="Q75" s="1419">
        <f ca="1">Q65+Q66</f>
        <v>437396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0.79699999999999993</v>
      </c>
    </row>
    <row r="80" spans="1:18">
      <c r="B80" s="340" t="s">
        <v>800</v>
      </c>
      <c r="C80" s="274">
        <f ca="1">ROUND(C75/C39,3)</f>
        <v>0.20300000000000001</v>
      </c>
    </row>
    <row r="81" spans="2:3">
      <c r="B81" s="270" t="s">
        <v>801</v>
      </c>
      <c r="C81" s="238"/>
    </row>
    <row r="82" spans="2:3">
      <c r="B82" s="273" t="s">
        <v>802</v>
      </c>
      <c r="C82" s="275">
        <f ca="1">1-C83</f>
        <v>0.80600000000000005</v>
      </c>
    </row>
    <row r="83" spans="2:3">
      <c r="B83" s="273" t="s">
        <v>803</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93" t="s">
        <v>694</v>
      </c>
      <c r="C6" s="1074">
        <f ca="1">ROUND(F6*F8*F7*(1-F9),0)</f>
        <v>0</v>
      </c>
      <c r="D6" s="155" t="s">
        <v>2105</v>
      </c>
      <c r="E6" s="302" t="s">
        <v>696</v>
      </c>
      <c r="F6" s="303">
        <f ca="1">INDIRECT("'数据-取费表'!u"&amp;$G$1)</f>
        <v>0</v>
      </c>
      <c r="G6" s="1383"/>
      <c r="H6" s="1069" t="s">
        <v>398</v>
      </c>
      <c r="I6" s="3693" t="s">
        <v>694</v>
      </c>
      <c r="J6" s="301">
        <f ca="1">ROUND(M6*M8*M7*(1-M9),0)</f>
        <v>0</v>
      </c>
      <c r="K6" s="1375"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0</v>
      </c>
      <c r="G7" s="1383"/>
      <c r="H7" s="304"/>
      <c r="I7" s="3694"/>
      <c r="J7" s="306"/>
      <c r="K7" s="307"/>
      <c r="L7" s="302" t="s">
        <v>697</v>
      </c>
      <c r="M7" s="303">
        <f ca="1">F7</f>
        <v>0</v>
      </c>
    </row>
    <row r="8" spans="1:37" ht="18" customHeight="1">
      <c r="A8" s="304"/>
      <c r="B8" s="3694"/>
      <c r="C8" s="306"/>
      <c r="D8" s="307"/>
      <c r="E8" s="302" t="s">
        <v>698</v>
      </c>
      <c r="F8" s="303">
        <f ca="1">INDIRECT("'数据-取费表'!ai"&amp;$G$1)</f>
        <v>0</v>
      </c>
      <c r="G8" s="1383"/>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#DIV/0!</v>
      </c>
      <c r="D45" s="3431"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91" t="s">
        <v>837</v>
      </c>
      <c r="L53" s="369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696" t="s">
        <v>2320</v>
      </c>
      <c r="K2" s="369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8" t="s">
        <v>2330</v>
      </c>
      <c r="K3" s="369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8" t="s">
        <v>2332</v>
      </c>
      <c r="K4" s="369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0" t="s">
        <v>2336</v>
      </c>
      <c r="B6" s="3701"/>
      <c r="C6" s="3702"/>
      <c r="D6" s="2869"/>
      <c r="E6" s="2870"/>
      <c r="F6" s="2871"/>
      <c r="G6" s="2872"/>
      <c r="H6" s="2847"/>
      <c r="I6" s="2848"/>
      <c r="J6" s="3703">
        <v>1</v>
      </c>
      <c r="K6" s="370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3"/>
      <c r="K7" s="370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7" t="s">
        <v>2350</v>
      </c>
      <c r="C8" s="3708"/>
      <c r="D8" s="2888" t="s">
        <v>2351</v>
      </c>
      <c r="E8" s="2889" t="s">
        <v>2352</v>
      </c>
      <c r="F8" s="2890" t="s">
        <v>2353</v>
      </c>
      <c r="G8" s="2891"/>
      <c r="H8" s="2847"/>
      <c r="I8" s="2848"/>
      <c r="J8" s="3703"/>
      <c r="K8" s="370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7" t="s">
        <v>2356</v>
      </c>
      <c r="C9" s="3708"/>
      <c r="D9" s="2888">
        <f>ROUND(D6*E9,0)</f>
        <v>0</v>
      </c>
      <c r="E9" s="2892"/>
      <c r="F9" s="2893" t="s">
        <v>2357</v>
      </c>
      <c r="G9" s="2872"/>
      <c r="H9" s="2847"/>
      <c r="I9" s="2848"/>
      <c r="J9" s="3703"/>
      <c r="K9" s="3705"/>
      <c r="L9" s="2882" t="s">
        <v>2358</v>
      </c>
      <c r="M9" s="2883"/>
      <c r="N9" s="2859"/>
      <c r="O9" s="2884"/>
      <c r="P9" s="2884"/>
      <c r="Q9" s="2885">
        <v>365</v>
      </c>
      <c r="R9" s="2886">
        <f t="shared" si="0"/>
        <v>0</v>
      </c>
      <c r="S9" s="2840"/>
      <c r="T9" s="2840"/>
      <c r="U9" s="2840"/>
      <c r="V9" s="2848"/>
    </row>
    <row r="10" spans="1:22" s="2852" customFormat="1" ht="13.15" customHeight="1">
      <c r="A10" s="2887">
        <v>2</v>
      </c>
      <c r="B10" s="3707" t="s">
        <v>2359</v>
      </c>
      <c r="C10" s="3708"/>
      <c r="D10" s="2888">
        <f>ROUND(D6*E10,0)</f>
        <v>0</v>
      </c>
      <c r="E10" s="2892"/>
      <c r="F10" s="2893" t="s">
        <v>2360</v>
      </c>
      <c r="G10" s="2872"/>
      <c r="H10" s="2847"/>
      <c r="I10" s="2848"/>
      <c r="J10" s="3703"/>
      <c r="K10" s="3705"/>
      <c r="L10" s="2882" t="s">
        <v>2361</v>
      </c>
      <c r="M10" s="2883"/>
      <c r="N10" s="2859"/>
      <c r="O10" s="2884"/>
      <c r="P10" s="2884"/>
      <c r="Q10" s="2885">
        <v>365</v>
      </c>
      <c r="R10" s="2886">
        <f t="shared" si="0"/>
        <v>0</v>
      </c>
      <c r="S10" s="2840"/>
      <c r="T10" s="2840"/>
      <c r="U10" s="2840"/>
      <c r="V10" s="2848"/>
    </row>
    <row r="11" spans="1:22" s="2852" customFormat="1" ht="13.15" customHeight="1">
      <c r="A11" s="2887">
        <v>3</v>
      </c>
      <c r="B11" s="3707" t="s">
        <v>2362</v>
      </c>
      <c r="C11" s="3708"/>
      <c r="D11" s="2888">
        <f>D12+D14+D15+D16</f>
        <v>0</v>
      </c>
      <c r="E11" s="2894" t="e">
        <f>D11/D6</f>
        <v>#DIV/0!</v>
      </c>
      <c r="F11" s="2890"/>
      <c r="G11" s="2891"/>
      <c r="H11" s="2847"/>
      <c r="I11" s="2848"/>
      <c r="J11" s="3703"/>
      <c r="K11" s="370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9" t="s">
        <v>2365</v>
      </c>
      <c r="C12" s="3710"/>
      <c r="D12" s="2896">
        <f>ROUND(D13*1.2%*(1-30%),0)</f>
        <v>0</v>
      </c>
      <c r="E12" s="2897">
        <v>1.2E-2</v>
      </c>
      <c r="F12" s="2890" t="s">
        <v>2366</v>
      </c>
      <c r="G12" s="2891"/>
      <c r="H12" s="2847"/>
      <c r="I12" s="2848"/>
      <c r="J12" s="3703"/>
      <c r="K12" s="370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3"/>
      <c r="K13" s="370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9" t="s">
        <v>2371</v>
      </c>
      <c r="C14" s="3710"/>
      <c r="D14" s="2896">
        <f>ROUND(E14*B5/10000,0)</f>
        <v>0</v>
      </c>
      <c r="E14" s="2885"/>
      <c r="F14" s="2890" t="s">
        <v>2372</v>
      </c>
      <c r="G14" s="2891"/>
      <c r="H14" s="2847"/>
      <c r="I14" s="2848"/>
      <c r="J14" s="3703"/>
      <c r="K14" s="370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9" t="s">
        <v>2375</v>
      </c>
      <c r="C15" s="3710"/>
      <c r="D15" s="2896">
        <f>ROUND(D6*E15,0)</f>
        <v>0</v>
      </c>
      <c r="E15" s="2897">
        <v>5.5E-2</v>
      </c>
      <c r="F15" s="2890" t="s">
        <v>2376</v>
      </c>
      <c r="G15" s="2872"/>
      <c r="H15" s="2847"/>
      <c r="I15" s="2848"/>
      <c r="J15" s="3703">
        <v>2</v>
      </c>
      <c r="K15" s="370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9" t="s">
        <v>2384</v>
      </c>
      <c r="C16" s="3710"/>
      <c r="D16" s="2907">
        <f>D6*E16</f>
        <v>0</v>
      </c>
      <c r="E16" s="2908"/>
      <c r="F16" s="2893" t="s">
        <v>2385</v>
      </c>
      <c r="G16" s="2872"/>
      <c r="H16" s="2847"/>
      <c r="I16" s="2848"/>
      <c r="J16" s="3703"/>
      <c r="K16" s="370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1" t="s">
        <v>2387</v>
      </c>
      <c r="C17" s="3712"/>
      <c r="D17" s="2910">
        <f>ROUND(D6*E17,0)</f>
        <v>0</v>
      </c>
      <c r="E17" s="2911"/>
      <c r="F17" s="2912" t="s">
        <v>2388</v>
      </c>
      <c r="G17" s="2872"/>
      <c r="H17" s="2847"/>
      <c r="I17" s="2848"/>
      <c r="J17" s="3703"/>
      <c r="K17" s="370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3"/>
      <c r="K18" s="370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3"/>
      <c r="K19" s="370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3">
        <v>3</v>
      </c>
      <c r="K20" s="370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3"/>
      <c r="K21" s="370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3"/>
      <c r="K22" s="370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3"/>
      <c r="K23" s="370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3"/>
      <c r="K24" s="370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6" t="s">
        <v>2320</v>
      </c>
      <c r="K32" s="369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8" t="s">
        <v>2330</v>
      </c>
      <c r="K33" s="369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8" t="s">
        <v>2332</v>
      </c>
      <c r="K34" s="369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3">
        <v>1</v>
      </c>
      <c r="K36" s="370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3"/>
      <c r="K37" s="370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3"/>
      <c r="K38" s="370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3"/>
      <c r="K39" s="370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3"/>
      <c r="K40" s="370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3338</v>
      </c>
      <c r="D1" s="1361" t="s">
        <v>43</v>
      </c>
      <c r="E1" s="1362" t="s">
        <v>678</v>
      </c>
      <c r="F1" s="1062">
        <f ca="1">J53</f>
        <v>30.67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13561</v>
      </c>
      <c r="C2" s="1386" t="s">
        <v>805</v>
      </c>
      <c r="D2" s="1386"/>
      <c r="E2" s="1387"/>
      <c r="F2" s="1388"/>
      <c r="G2" s="2705"/>
      <c r="H2" s="2694"/>
      <c r="I2" s="2694"/>
      <c r="J2" s="2694"/>
      <c r="K2" s="2695"/>
      <c r="L2" s="2694"/>
      <c r="M2" s="2694"/>
    </row>
    <row r="3" spans="1:37" ht="18" customHeight="1" thickBot="1">
      <c r="A3" s="1389" t="s">
        <v>806</v>
      </c>
      <c r="B3" s="1390">
        <f ca="1">IF(ISERROR(B2*10000/F43),0,ROUND(B2*10000/F43,0))</f>
        <v>2539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1054</v>
      </c>
      <c r="D5" s="1363" t="s">
        <v>693</v>
      </c>
      <c r="E5" s="1071"/>
      <c r="F5" s="1072"/>
      <c r="G5" s="1383"/>
      <c r="H5" s="299">
        <v>1</v>
      </c>
      <c r="I5" s="300" t="s">
        <v>692</v>
      </c>
      <c r="J5" s="1070">
        <f ca="1">J6+J10+J12</f>
        <v>0</v>
      </c>
      <c r="K5" s="1363" t="s">
        <v>693</v>
      </c>
      <c r="L5" s="1071"/>
      <c r="M5" s="1072"/>
    </row>
    <row r="6" spans="1:37" ht="18" customHeight="1">
      <c r="A6" s="1069" t="s">
        <v>398</v>
      </c>
      <c r="B6" s="3693" t="s">
        <v>694</v>
      </c>
      <c r="C6" s="1074">
        <f ca="1">ROUND(F6*F8*F7*(1-F9)/10000,0)</f>
        <v>1054</v>
      </c>
      <c r="D6" s="155" t="s">
        <v>2108</v>
      </c>
      <c r="E6" s="302" t="s">
        <v>696</v>
      </c>
      <c r="F6" s="303">
        <f ca="1">INDIRECT("'数据-取费表'!u"&amp;$G$1)</f>
        <v>600</v>
      </c>
      <c r="G6" s="1383"/>
      <c r="H6" s="1069" t="s">
        <v>398</v>
      </c>
      <c r="I6" s="3693" t="s">
        <v>694</v>
      </c>
      <c r="J6" s="301">
        <f ca="1">ROUND(M6*M8*M7*(1-M9)/10000,0)</f>
        <v>0</v>
      </c>
      <c r="K6" s="155" t="s">
        <v>2107</v>
      </c>
      <c r="L6" s="302" t="s">
        <v>696</v>
      </c>
      <c r="M6" s="303">
        <f ca="1">INDIRECT("'数据-取费表'!z"&amp;$G$1)</f>
        <v>0</v>
      </c>
    </row>
    <row r="7" spans="1:37" ht="18" customHeight="1">
      <c r="A7" s="1073"/>
      <c r="B7" s="3694"/>
      <c r="C7" s="1075"/>
      <c r="D7" s="307"/>
      <c r="E7" s="3452" t="s">
        <v>697</v>
      </c>
      <c r="F7" s="303">
        <f ca="1">IF(INDIRECT("'数据-取费表'!ah"&amp;$G$1)="",INDIRECT("'数据-取费表'!k"&amp;$G$1),INDIRECT("'数据-取费表'!ah"&amp;$G$1))</f>
        <v>1626</v>
      </c>
      <c r="G7" s="1383"/>
      <c r="H7" s="304"/>
      <c r="I7" s="3694"/>
      <c r="J7" s="306"/>
      <c r="K7" s="307"/>
      <c r="L7" s="302" t="s">
        <v>697</v>
      </c>
      <c r="M7" s="303">
        <f ca="1">F7</f>
        <v>1626</v>
      </c>
    </row>
    <row r="8" spans="1:37" ht="18" customHeight="1">
      <c r="A8" s="304"/>
      <c r="B8" s="3694"/>
      <c r="C8" s="306"/>
      <c r="D8" s="307"/>
      <c r="E8" s="302" t="s">
        <v>698</v>
      </c>
      <c r="F8" s="303">
        <f ca="1">INDIRECT("'数据-取费表'!ai"&amp;$G$1)</f>
        <v>12</v>
      </c>
      <c r="G8" s="1383"/>
      <c r="H8" s="304"/>
      <c r="I8" s="3694"/>
      <c r="J8" s="306"/>
      <c r="K8" s="307"/>
      <c r="L8" s="302" t="s">
        <v>698</v>
      </c>
      <c r="M8" s="303">
        <f ca="1">INDIRECT("'数据-取费表'!ai"&amp;$G$1)</f>
        <v>12</v>
      </c>
    </row>
    <row r="9" spans="1:37" ht="18" customHeight="1">
      <c r="A9" s="304"/>
      <c r="B9" s="3695"/>
      <c r="C9" s="306"/>
      <c r="D9" s="307"/>
      <c r="E9" s="302" t="s">
        <v>699</v>
      </c>
      <c r="F9" s="312">
        <f ca="1">INDIRECT("'数据-取费表'!w"&amp;$G$1)</f>
        <v>0.1</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22992</v>
      </c>
      <c r="D13" s="3449" t="s">
        <v>705</v>
      </c>
      <c r="E13" s="3449" t="s">
        <v>706</v>
      </c>
      <c r="F13" s="1082">
        <f ca="1">INDIRECT("'数据-取费表'!y"&amp;$G$1)</f>
        <v>0.74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21417</v>
      </c>
      <c r="D14" s="3459" t="s">
        <v>708</v>
      </c>
      <c r="E14" s="3458"/>
      <c r="F14" s="319"/>
      <c r="G14" s="1383"/>
      <c r="H14" s="982" t="s">
        <v>398</v>
      </c>
      <c r="I14" s="302" t="s">
        <v>709</v>
      </c>
      <c r="J14" s="21">
        <f ca="1">C29</f>
        <v>31070</v>
      </c>
      <c r="K14" s="3451"/>
      <c r="L14" s="807"/>
      <c r="M14" s="808"/>
    </row>
    <row r="15" spans="1:37" s="1396" customFormat="1" ht="18" customHeight="1" thickBot="1">
      <c r="A15" s="982" t="s">
        <v>399</v>
      </c>
      <c r="B15" s="302" t="s">
        <v>710</v>
      </c>
      <c r="C15" s="21">
        <f ca="1">ROUND(C14*F15,0)</f>
        <v>1071</v>
      </c>
      <c r="D15" s="3450" t="s">
        <v>711</v>
      </c>
      <c r="E15" s="345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172</v>
      </c>
      <c r="K16" s="1087" t="s">
        <v>715</v>
      </c>
      <c r="L16" s="3461"/>
      <c r="M16" s="1072"/>
    </row>
    <row r="17" spans="1:37" s="1396" customFormat="1" ht="18" customHeight="1">
      <c r="A17" s="982" t="s">
        <v>681</v>
      </c>
      <c r="B17" s="302" t="s">
        <v>716</v>
      </c>
      <c r="C17" s="21">
        <f ca="1">ROUND(F17*(F43+INDIRECT("'数据-取费表'!S"&amp;$G$1))/10000,0)</f>
        <v>1071</v>
      </c>
      <c r="D17" s="302" t="s">
        <v>717</v>
      </c>
      <c r="E17" s="302" t="s">
        <v>718</v>
      </c>
      <c r="F17" s="23">
        <f>'数据-取费表'!B35</f>
        <v>200</v>
      </c>
      <c r="G17" s="1395"/>
      <c r="H17" s="982" t="s">
        <v>398</v>
      </c>
      <c r="I17" s="302" t="s">
        <v>719</v>
      </c>
      <c r="J17" s="2315">
        <f ca="1">ROUND(IF(AND(项目基本情况!B11="自然人",项目基本情况!B10="北京市"),J6*M17/(1+'数据-取费表'!C42),J18+J19+J20),2)</f>
        <v>16.28</v>
      </c>
      <c r="K17" s="3459" t="s">
        <v>720</v>
      </c>
      <c r="L17" s="3460"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321</v>
      </c>
      <c r="D18" s="302" t="s">
        <v>711</v>
      </c>
      <c r="E18" s="302" t="s">
        <v>712</v>
      </c>
      <c r="F18" s="322">
        <f>'数据-取费表'!B36</f>
        <v>1.4999999999999999E-2</v>
      </c>
      <c r="G18" s="1395"/>
      <c r="H18" s="982" t="s">
        <v>397</v>
      </c>
      <c r="I18" s="302" t="s">
        <v>723</v>
      </c>
      <c r="J18" s="21">
        <f ca="1">ROUND(J6*M18/(1+'数据-取费表'!C42),2)</f>
        <v>0</v>
      </c>
      <c r="K18" s="3460"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23880</v>
      </c>
      <c r="D19" s="131" t="s">
        <v>726</v>
      </c>
      <c r="E19" s="346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716</v>
      </c>
      <c r="D20" s="2427" t="s">
        <v>729</v>
      </c>
      <c r="E20" s="302" t="s">
        <v>712</v>
      </c>
      <c r="F20" s="322">
        <f>'数据-取费表'!B37</f>
        <v>0.03</v>
      </c>
      <c r="G20" s="1395"/>
      <c r="H20" s="982" t="s">
        <v>680</v>
      </c>
      <c r="I20" s="155" t="s">
        <v>730</v>
      </c>
      <c r="J20" s="22">
        <f ca="1">ROUND(M20*M21/10000,2)</f>
        <v>16.28</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0.03</v>
      </c>
      <c r="G21" s="1395"/>
      <c r="H21" s="326"/>
      <c r="I21" s="311"/>
      <c r="J21" s="26"/>
      <c r="K21" s="327"/>
      <c r="L21" s="302" t="s">
        <v>736</v>
      </c>
      <c r="M21" s="303">
        <f ca="1">INDIRECT("'数据-取费表'!r"&amp;$G$1)</f>
        <v>13570.06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5"/>
      <c r="F22" s="23"/>
      <c r="G22" s="1383"/>
      <c r="H22" s="982" t="s">
        <v>402</v>
      </c>
      <c r="I22" s="302" t="s">
        <v>738</v>
      </c>
      <c r="J22" s="21">
        <f ca="1">ROUND(J14*M22,2)</f>
        <v>155.35</v>
      </c>
      <c r="K22" s="3460"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1283</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60" t="s">
        <v>743</v>
      </c>
      <c r="L23" s="302" t="s">
        <v>712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5"/>
      <c r="F25" s="23"/>
      <c r="G25" s="1383"/>
      <c r="H25" s="1079" t="s">
        <v>394</v>
      </c>
      <c r="I25" s="1094" t="s">
        <v>752</v>
      </c>
      <c r="J25" s="310">
        <f ca="1">J5-J16</f>
        <v>-172</v>
      </c>
      <c r="K25" s="1095" t="s">
        <v>753</v>
      </c>
      <c r="L25" s="1096"/>
      <c r="M25" s="1097"/>
    </row>
    <row r="26" spans="1:37">
      <c r="A26" s="982" t="s">
        <v>397</v>
      </c>
      <c r="B26" s="302" t="s">
        <v>754</v>
      </c>
      <c r="C26" s="21">
        <f ca="1">ROUND((C19+C20)*F26,0)</f>
        <v>2460</v>
      </c>
      <c r="D26" s="2427"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2427" t="s">
        <v>761</v>
      </c>
      <c r="E27" s="345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31070</v>
      </c>
      <c r="D29" s="1092"/>
      <c r="E29" s="1090"/>
      <c r="F29" s="1093"/>
      <c r="G29" s="1395"/>
      <c r="H29" s="334" t="s">
        <v>396</v>
      </c>
      <c r="I29" s="335" t="s">
        <v>768</v>
      </c>
      <c r="J29" s="336">
        <f ca="1">ROUND(J26/(1+F40)^F41,0)</f>
        <v>0</v>
      </c>
      <c r="K29" s="337" t="s">
        <v>769</v>
      </c>
      <c r="L29" s="338"/>
      <c r="M29" s="339">
        <f ca="1">INDIRECT("'数据-取费表'!k"&amp;$G$1)</f>
        <v>53417.460000000006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393</v>
      </c>
      <c r="D30" s="1087" t="s">
        <v>715</v>
      </c>
      <c r="E30" s="3461"/>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192.95</v>
      </c>
      <c r="D31" s="3459" t="s">
        <v>720</v>
      </c>
      <c r="E31" s="3460"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2" t="s">
        <v>397</v>
      </c>
      <c r="B32" s="302" t="s">
        <v>723</v>
      </c>
      <c r="C32" s="21">
        <f ca="1">IF(项目基本情况!B11="自然人","——",ROUND(C6*F32/(1+'数据-取费表'!C42),2))</f>
        <v>56.21</v>
      </c>
      <c r="D32" s="3460"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120.46</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16.28</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13570.06</v>
      </c>
      <c r="G35" s="1383"/>
      <c r="H35" s="2696"/>
      <c r="I35" s="1397"/>
      <c r="J35" s="1398"/>
      <c r="K35" s="2700"/>
      <c r="L35" s="2699"/>
      <c r="M35" s="2699"/>
    </row>
    <row r="36" spans="1:18" ht="18" customHeight="1">
      <c r="A36" s="1102" t="s">
        <v>402</v>
      </c>
      <c r="B36" s="302" t="s">
        <v>738</v>
      </c>
      <c r="C36" s="21">
        <f ca="1">ROUND(C29*F36,2)</f>
        <v>155.35</v>
      </c>
      <c r="D36" s="3460"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34.49</v>
      </c>
      <c r="D37" s="3460" t="s">
        <v>743</v>
      </c>
      <c r="E37" s="302" t="s">
        <v>712</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10.54</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661</v>
      </c>
      <c r="D39" s="1095" t="s">
        <v>753</v>
      </c>
      <c r="E39" s="1096"/>
      <c r="F39" s="1097"/>
      <c r="G39" s="1383"/>
      <c r="H39" s="2699"/>
      <c r="I39" s="1397">
        <f ca="1">C39/C5</f>
        <v>0.62713472485768496</v>
      </c>
      <c r="J39" s="1398"/>
      <c r="K39" s="2703"/>
      <c r="L39" s="2699"/>
      <c r="M39" s="2699"/>
    </row>
    <row r="40" spans="1:18" ht="18" customHeight="1">
      <c r="A40" s="299" t="s">
        <v>395</v>
      </c>
      <c r="B40" s="300" t="s">
        <v>774</v>
      </c>
      <c r="C40" s="301">
        <f ca="1">ROUND(C39*(1-((1+F42)/(1+F40))^F41)/(F40-F42),0)</f>
        <v>12209</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30.67</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2286</v>
      </c>
      <c r="D43" s="337" t="s">
        <v>777</v>
      </c>
      <c r="E43" s="338" t="s">
        <v>778</v>
      </c>
      <c r="F43" s="339">
        <f ca="1">INDIRECT("'数据-取费表'!k"&amp;$G$1)</f>
        <v>53417.460000000006</v>
      </c>
      <c r="G43" s="1383"/>
      <c r="H43" s="1190"/>
      <c r="I43" s="1190"/>
      <c r="J43" s="1190"/>
      <c r="K43" s="2543"/>
      <c r="L43" s="1190"/>
      <c r="M43" s="1190"/>
    </row>
    <row r="44" spans="1:18" s="1383" customFormat="1" ht="18" customHeight="1">
      <c r="A44" s="1399"/>
      <c r="B44" s="1399"/>
      <c r="C44" s="1400">
        <f ca="1">B2/F7</f>
        <v>8.3400984009840098</v>
      </c>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-15406</v>
      </c>
      <c r="D46" s="1405" t="str">
        <f>C2</f>
        <v>万元</v>
      </c>
      <c r="E46" s="1399"/>
      <c r="F46" s="1399"/>
      <c r="I46" s="1406" t="s">
        <v>810</v>
      </c>
      <c r="J46" s="1407"/>
      <c r="K46" s="1408"/>
      <c r="L46" s="1409">
        <f ca="1">IF(M47="住宅",0,IF(L48&gt;J51,L60,J60))</f>
        <v>1352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12209</v>
      </c>
      <c r="R47" s="1419" t="s">
        <v>818</v>
      </c>
    </row>
    <row r="48" spans="1:18" s="1383" customFormat="1" ht="28.5" thickBot="1">
      <c r="A48" s="1110" t="s">
        <v>438</v>
      </c>
      <c r="B48" s="300" t="s">
        <v>692</v>
      </c>
      <c r="C48" s="3464">
        <f ca="1">C49+C53+C55</f>
        <v>0</v>
      </c>
      <c r="D48" s="1112"/>
      <c r="E48" s="1113"/>
      <c r="F48" s="962"/>
      <c r="G48" s="722"/>
      <c r="H48" s="723"/>
      <c r="I48" s="1420" t="s">
        <v>819</v>
      </c>
      <c r="J48" s="1421" t="s">
        <v>3445</v>
      </c>
      <c r="K48" s="1422" t="s">
        <v>820</v>
      </c>
      <c r="L48" s="1423">
        <f ca="1">INDIRECT("'数据-取费表'!f"&amp;$G$1)</f>
        <v>30.67</v>
      </c>
      <c r="O48" s="1417" t="s">
        <v>404</v>
      </c>
      <c r="P48" s="1418" t="s">
        <v>821</v>
      </c>
      <c r="Q48" s="1419">
        <f ca="1">J60</f>
        <v>1352</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2004</v>
      </c>
      <c r="K49" s="1422" t="s">
        <v>824</v>
      </c>
      <c r="L49" s="1426"/>
      <c r="O49" s="1427" t="s">
        <v>405</v>
      </c>
      <c r="P49" s="1418" t="s">
        <v>825</v>
      </c>
      <c r="Q49" s="1419">
        <f ca="1">C29</f>
        <v>31070</v>
      </c>
      <c r="R49" s="1419" t="s">
        <v>818</v>
      </c>
    </row>
    <row r="50" spans="1:18" s="1383" customFormat="1" ht="13.5" thickBot="1">
      <c r="A50" s="976"/>
      <c r="B50" s="979"/>
      <c r="C50" s="1118"/>
      <c r="D50" s="953"/>
      <c r="E50" s="1056" t="s">
        <v>697</v>
      </c>
      <c r="F50" s="1057">
        <f ca="1">F7</f>
        <v>1626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-17609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30.67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30.67</v>
      </c>
      <c r="K53" s="3691" t="s">
        <v>837</v>
      </c>
      <c r="L53" s="3692"/>
      <c r="O53" s="1417" t="s">
        <v>409</v>
      </c>
      <c r="P53" s="1418" t="s">
        <v>838</v>
      </c>
      <c r="Q53" s="1419">
        <f ca="1">Q47+Q48</f>
        <v>13561</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f ca="1">ROUND(IF(J47="钢混",J57/J50,1-(1-2%)*(J50-J57)/J50),3)</f>
        <v>0.17199999999999999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22992</v>
      </c>
      <c r="D56" s="1446"/>
      <c r="E56" s="1447"/>
      <c r="F56" s="1439"/>
      <c r="I56" s="1448" t="s">
        <v>842</v>
      </c>
      <c r="J56" s="1449" t="s">
        <v>3387</v>
      </c>
      <c r="K56" s="1420" t="s">
        <v>843</v>
      </c>
      <c r="L56" s="1423" t="str">
        <f ca="1">IF(L48&lt;J51,"——",L48-J53)</f>
        <v>——</v>
      </c>
      <c r="O56" s="1417" t="s">
        <v>403</v>
      </c>
      <c r="P56" s="1418" t="s">
        <v>817</v>
      </c>
      <c r="Q56" s="1419">
        <f ca="1">C40+J29</f>
        <v>12209</v>
      </c>
      <c r="R56" s="1419" t="s">
        <v>818</v>
      </c>
    </row>
    <row r="57" spans="1:18" s="1383" customFormat="1" ht="24.75" thickBot="1">
      <c r="A57" s="1450"/>
      <c r="B57" s="950" t="s">
        <v>767</v>
      </c>
      <c r="C57" s="238">
        <f ca="1">C29</f>
        <v>31070</v>
      </c>
      <c r="D57" s="1451"/>
      <c r="E57" s="1452"/>
      <c r="F57" s="1453"/>
      <c r="I57" s="1454" t="s">
        <v>844</v>
      </c>
      <c r="J57" s="1455">
        <f ca="1">IF(OR(M47="住宅",J51&lt;L48,J56="是"),"——",J51-L48)</f>
        <v>10.329999999999998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16</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12428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1352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16.28</v>
      </c>
      <c r="D62" s="965" t="s">
        <v>731</v>
      </c>
      <c r="E62" s="950" t="s">
        <v>732</v>
      </c>
      <c r="F62" s="325">
        <f t="shared" si="0"/>
        <v>12</v>
      </c>
      <c r="I62" s="1461" t="s">
        <v>858</v>
      </c>
      <c r="J62" s="1462" t="s">
        <v>859</v>
      </c>
      <c r="K62" s="1462" t="s">
        <v>860</v>
      </c>
      <c r="L62" s="1462" t="s">
        <v>861</v>
      </c>
      <c r="M62" s="1463" t="s">
        <v>862</v>
      </c>
      <c r="O62" s="1417" t="s">
        <v>409</v>
      </c>
      <c r="P62" s="1418" t="s">
        <v>838</v>
      </c>
      <c r="Q62" s="1419">
        <f ca="1">Q56+Q57</f>
        <v>12209</v>
      </c>
      <c r="R62" s="1419" t="s">
        <v>410</v>
      </c>
    </row>
    <row r="63" spans="1:18" s="1383" customFormat="1" ht="13.5" thickBot="1">
      <c r="A63" s="326"/>
      <c r="B63" s="956"/>
      <c r="C63" s="26"/>
      <c r="D63" s="966"/>
      <c r="E63" s="950" t="s">
        <v>736</v>
      </c>
      <c r="F63" s="303">
        <f t="shared" ca="1" si="0"/>
        <v>13570.06</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155.35</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34.49</v>
      </c>
      <c r="D65" s="964" t="s">
        <v>743</v>
      </c>
      <c r="E65" s="950" t="s">
        <v>712</v>
      </c>
      <c r="F65" s="330">
        <f t="shared" ca="1" si="0"/>
        <v>1.5E-3</v>
      </c>
      <c r="I65" s="1461" t="s">
        <v>867</v>
      </c>
      <c r="J65" s="1462">
        <v>40</v>
      </c>
      <c r="K65" s="1462">
        <v>30</v>
      </c>
      <c r="L65" s="1462">
        <v>50</v>
      </c>
      <c r="M65" s="1464">
        <v>0.02</v>
      </c>
      <c r="O65" s="1417" t="s">
        <v>403</v>
      </c>
      <c r="P65" s="1418" t="s">
        <v>817</v>
      </c>
      <c r="Q65" s="1419">
        <f ca="1">C40+J29</f>
        <v>12209</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-206</v>
      </c>
      <c r="D67" s="963" t="s">
        <v>753</v>
      </c>
      <c r="E67" s="968"/>
      <c r="F67" s="969"/>
      <c r="O67" s="1427" t="s">
        <v>405</v>
      </c>
      <c r="P67" s="1418" t="s">
        <v>850</v>
      </c>
      <c r="Q67" s="1465">
        <f ca="1">L51</f>
        <v>-17609</v>
      </c>
      <c r="R67" s="1419" t="s">
        <v>870</v>
      </c>
    </row>
    <row r="68" spans="1:18" s="1383" customFormat="1" ht="16.5" thickBot="1">
      <c r="A68" s="947" t="s">
        <v>395</v>
      </c>
      <c r="B68" s="948" t="s">
        <v>774</v>
      </c>
      <c r="C68" s="301">
        <f ca="1">ROUND(C67*(1-((1+F70)/(1+F68))^F69)/(F68-F70),0)</f>
        <v>-3197</v>
      </c>
      <c r="D68" s="965" t="s">
        <v>758</v>
      </c>
      <c r="E68" s="950" t="s">
        <v>759</v>
      </c>
      <c r="F68" s="312">
        <f ca="1">F40</f>
        <v>0.05</v>
      </c>
      <c r="O68" s="1427" t="s">
        <v>406</v>
      </c>
      <c r="P68" s="1466" t="s">
        <v>871</v>
      </c>
      <c r="Q68" s="1419">
        <f ca="1">ROUND(Q69-Q70*Q71,0)</f>
        <v>-948</v>
      </c>
      <c r="R68" s="1419" t="s">
        <v>414</v>
      </c>
    </row>
    <row r="69" spans="1:18" s="1383" customFormat="1" ht="13.5" thickBot="1">
      <c r="A69" s="951"/>
      <c r="B69" s="952"/>
      <c r="C69" s="306"/>
      <c r="D69" s="970" t="s">
        <v>762</v>
      </c>
      <c r="E69" s="950" t="s">
        <v>763</v>
      </c>
      <c r="F69" s="333">
        <f ca="1">F41</f>
        <v>30.67</v>
      </c>
      <c r="O69" s="1427" t="s">
        <v>411</v>
      </c>
      <c r="P69" s="1466" t="s">
        <v>872</v>
      </c>
      <c r="Q69" s="1419">
        <f ca="1">C39</f>
        <v>661</v>
      </c>
      <c r="R69" s="1419" t="s">
        <v>818</v>
      </c>
    </row>
    <row r="70" spans="1:18" s="1383" customFormat="1" ht="13.5" thickBot="1">
      <c r="A70" s="954"/>
      <c r="B70" s="955"/>
      <c r="C70" s="310"/>
      <c r="D70" s="966"/>
      <c r="E70" s="950" t="s">
        <v>766</v>
      </c>
      <c r="F70" s="1054"/>
      <c r="O70" s="1427" t="s">
        <v>412</v>
      </c>
      <c r="P70" s="1466" t="s">
        <v>873</v>
      </c>
      <c r="Q70" s="1419">
        <f ca="1">C13</f>
        <v>22992</v>
      </c>
      <c r="R70" s="1419" t="s">
        <v>818</v>
      </c>
    </row>
    <row r="71" spans="1:18" s="1383" customFormat="1" ht="13.5" thickBot="1">
      <c r="A71" s="971" t="s">
        <v>396</v>
      </c>
      <c r="B71" s="972" t="s">
        <v>776</v>
      </c>
      <c r="C71" s="336">
        <f ca="1">ROUND(C68*10000/F71,0)</f>
        <v>-598</v>
      </c>
      <c r="D71" s="973" t="s">
        <v>777</v>
      </c>
      <c r="E71" s="974" t="s">
        <v>778</v>
      </c>
      <c r="F71" s="339">
        <f ca="1">F43</f>
        <v>53417.460000000006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1609</v>
      </c>
      <c r="D75" s="1383"/>
      <c r="E75" s="1383"/>
      <c r="F75" s="1383"/>
      <c r="K75" s="1401"/>
      <c r="L75" s="1383"/>
      <c r="O75" s="1417" t="s">
        <v>409</v>
      </c>
      <c r="P75" s="1418" t="s">
        <v>838</v>
      </c>
      <c r="Q75" s="1419">
        <f ca="1">Q65+Q66</f>
        <v>12209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-1.4340000000000002</v>
      </c>
    </row>
    <row r="80" spans="1:18">
      <c r="B80" s="340" t="s">
        <v>800</v>
      </c>
      <c r="C80" s="274">
        <f ca="1">ROUND(C75/C39,3)</f>
        <v>2.4340000000000002</v>
      </c>
    </row>
    <row r="81" spans="2:3">
      <c r="B81" s="270" t="s">
        <v>801</v>
      </c>
      <c r="C81" s="238"/>
    </row>
    <row r="82" spans="2:3">
      <c r="B82" s="273" t="s">
        <v>802</v>
      </c>
      <c r="C82" s="275">
        <f ca="1">1-C83</f>
        <v>-0.88300000000000001</v>
      </c>
    </row>
    <row r="83" spans="2:3">
      <c r="B83" s="273" t="s">
        <v>803</v>
      </c>
      <c r="C83" s="274">
        <f ca="1">ROUND(C13/C40,3)</f>
        <v>1.883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461251</v>
      </c>
      <c r="C2" s="1871" t="s">
        <v>1650</v>
      </c>
      <c r="D2" s="1872" t="s">
        <v>1651</v>
      </c>
      <c r="E2" s="2606">
        <f>SUM(E6:E13)</f>
        <v>199991.93</v>
      </c>
      <c r="F2" s="2706"/>
      <c r="G2" s="1488"/>
      <c r="H2" s="1488"/>
      <c r="I2" s="1488"/>
      <c r="J2" s="1488"/>
      <c r="K2" s="1488"/>
      <c r="L2" s="1488"/>
      <c r="M2" s="1488"/>
      <c r="N2" s="1488"/>
      <c r="O2" s="1488"/>
      <c r="P2" s="1488"/>
      <c r="Q2" s="1488"/>
      <c r="R2" s="1488"/>
      <c r="S2" s="1488"/>
    </row>
    <row r="3" spans="1:22" ht="15.75">
      <c r="A3" s="1869" t="s">
        <v>686</v>
      </c>
      <c r="B3" s="2600">
        <f ca="1">ROUND(B2*10000/E2,0)</f>
        <v>23063</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715" t="s">
        <v>1653</v>
      </c>
      <c r="C5" s="3716"/>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v>
      </c>
      <c r="B6" s="2601">
        <f ca="1">IF(F6="是",'数据-取费表'!AO6,0)</f>
        <v>447690</v>
      </c>
      <c r="C6" s="1871" t="s">
        <v>1650</v>
      </c>
      <c r="D6" s="2708"/>
      <c r="E6" s="2605">
        <f>IF(OR(A6=0,F6="否"),0,'数据-取费表'!K6+'数据-取费表'!S6)</f>
        <v>146450.16</v>
      </c>
      <c r="F6" s="1875" t="s">
        <v>1656</v>
      </c>
      <c r="G6" s="1488"/>
      <c r="H6" s="1488"/>
      <c r="I6" s="1488"/>
      <c r="J6" s="1488"/>
      <c r="K6" s="1488"/>
      <c r="L6" s="1488"/>
      <c r="M6" s="1488"/>
      <c r="N6" s="1488"/>
      <c r="O6" s="1488"/>
      <c r="P6" s="1488"/>
      <c r="Q6" s="1488"/>
      <c r="R6" s="1488"/>
      <c r="S6" s="1488"/>
    </row>
    <row r="7" spans="1:22">
      <c r="A7" s="2603" t="str">
        <f>'数据-取费表'!AN7</f>
        <v>收益法(车位)</v>
      </c>
      <c r="B7" s="2601">
        <f ca="1">IF(F7="是",'数据-取费表'!AO7,0)</f>
        <v>13561</v>
      </c>
      <c r="C7" s="1871" t="s">
        <v>1650</v>
      </c>
      <c r="D7" s="2708"/>
      <c r="E7" s="2605">
        <f>IF(OR(A7=0,F7="否"),0,'数据-取费表'!K7+'数据-取费表'!S7)</f>
        <v>53541.770000000004</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199991.93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735" t="s">
        <v>1666</v>
      </c>
      <c r="D4" s="3736"/>
      <c r="E4" s="3737" t="s">
        <v>1667</v>
      </c>
      <c r="F4" s="3738"/>
      <c r="G4" s="3735" t="s">
        <v>1668</v>
      </c>
      <c r="H4" s="3736"/>
      <c r="I4" s="3735" t="s">
        <v>1669</v>
      </c>
      <c r="J4" s="3736"/>
      <c r="K4" s="1888" t="s">
        <v>1670</v>
      </c>
      <c r="L4" s="2714"/>
      <c r="M4" s="2715"/>
      <c r="N4" s="2715"/>
      <c r="O4" s="2715"/>
      <c r="P4" s="3739" t="s">
        <v>1671</v>
      </c>
      <c r="Q4" s="3740"/>
      <c r="R4" s="3722" t="s">
        <v>1667</v>
      </c>
      <c r="S4" s="3723"/>
      <c r="T4" s="3722" t="s">
        <v>1668</v>
      </c>
      <c r="U4" s="3723"/>
      <c r="V4" s="3747" t="s">
        <v>1669</v>
      </c>
      <c r="W4" s="3747"/>
      <c r="X4" s="1354"/>
      <c r="Y4" s="3722" t="s">
        <v>1671</v>
      </c>
      <c r="Z4" s="3723"/>
      <c r="AA4" s="3717" t="s">
        <v>1667</v>
      </c>
      <c r="AB4" s="3717" t="s">
        <v>1668</v>
      </c>
      <c r="AC4" s="3717" t="s">
        <v>1669</v>
      </c>
    </row>
    <row r="5" spans="1:29" ht="15">
      <c r="A5" s="358"/>
      <c r="B5" s="359"/>
      <c r="C5" s="3728" t="s">
        <v>1672</v>
      </c>
      <c r="D5" s="3729"/>
      <c r="E5" s="3726" t="s">
        <v>1673</v>
      </c>
      <c r="F5" s="3727"/>
      <c r="G5" s="3728" t="s">
        <v>1674</v>
      </c>
      <c r="H5" s="3729"/>
      <c r="I5" s="3728" t="s">
        <v>1675</v>
      </c>
      <c r="J5" s="3729"/>
      <c r="K5" s="1889"/>
      <c r="L5" s="2714"/>
      <c r="M5" s="2715"/>
      <c r="N5" s="2715"/>
      <c r="O5" s="2715"/>
      <c r="P5" s="3741"/>
      <c r="Q5" s="3742"/>
      <c r="R5" s="3724"/>
      <c r="S5" s="3725"/>
      <c r="T5" s="3724"/>
      <c r="U5" s="3725"/>
      <c r="V5" s="3747"/>
      <c r="W5" s="3747"/>
      <c r="X5" s="1354"/>
      <c r="Y5" s="3724"/>
      <c r="Z5" s="3725"/>
      <c r="AA5" s="3718"/>
      <c r="AB5" s="3718"/>
      <c r="AC5" s="3718"/>
    </row>
    <row r="6" spans="1:29" ht="15.75" thickBot="1">
      <c r="A6" s="360"/>
      <c r="B6" s="361"/>
      <c r="C6" s="3730" t="s">
        <v>1676</v>
      </c>
      <c r="D6" s="3731"/>
      <c r="E6" s="3732" t="s">
        <v>1676</v>
      </c>
      <c r="F6" s="3733"/>
      <c r="G6" s="3730" t="s">
        <v>1676</v>
      </c>
      <c r="H6" s="3731"/>
      <c r="I6" s="3730" t="s">
        <v>1676</v>
      </c>
      <c r="J6" s="3731"/>
      <c r="K6" s="1889" t="s">
        <v>1677</v>
      </c>
      <c r="L6" s="2714"/>
      <c r="M6" s="2715"/>
      <c r="N6" s="2715"/>
      <c r="O6" s="2715"/>
      <c r="P6" s="3743"/>
      <c r="Q6" s="3744"/>
      <c r="R6" s="3724"/>
      <c r="S6" s="3725"/>
      <c r="T6" s="3745"/>
      <c r="U6" s="3746"/>
      <c r="V6" s="3747"/>
      <c r="W6" s="3747"/>
      <c r="X6" s="1354"/>
      <c r="Y6" s="3745"/>
      <c r="Z6" s="3746"/>
      <c r="AA6" s="3719"/>
      <c r="AB6" s="3719"/>
      <c r="AC6" s="3719"/>
    </row>
    <row r="7" spans="1:29" s="108" customFormat="1" ht="15.75" thickBot="1">
      <c r="A7" s="362" t="s">
        <v>1678</v>
      </c>
      <c r="B7" s="363"/>
      <c r="C7" s="364">
        <f>'数据-取费表'!B2</f>
        <v>45182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0" t="s">
        <v>1679</v>
      </c>
      <c r="Q7" s="3748"/>
      <c r="R7" s="701" t="s">
        <v>20</v>
      </c>
      <c r="S7" s="702">
        <f t="shared" ref="S7:S15" si="0">F7</f>
        <v>0</v>
      </c>
      <c r="T7" s="701" t="s">
        <v>20</v>
      </c>
      <c r="U7" s="702">
        <f t="shared" ref="U7:U15" si="1">H7</f>
        <v>0</v>
      </c>
      <c r="V7" s="701" t="s">
        <v>20</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0" t="s">
        <v>1682</v>
      </c>
      <c r="Q8" s="3721"/>
      <c r="R8" s="701" t="s">
        <v>20</v>
      </c>
      <c r="S8" s="702">
        <f t="shared" si="0"/>
        <v>100</v>
      </c>
      <c r="T8" s="701" t="s">
        <v>20</v>
      </c>
      <c r="U8" s="702">
        <f t="shared" si="1"/>
        <v>100</v>
      </c>
      <c r="V8" s="701" t="s">
        <v>20</v>
      </c>
      <c r="W8" s="702">
        <f t="shared" si="2"/>
        <v>100</v>
      </c>
      <c r="X8" s="703"/>
      <c r="Y8" s="3720" t="s">
        <v>1682</v>
      </c>
      <c r="Z8" s="372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4"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4"/>
      <c r="Q11" s="1342" t="str">
        <f t="shared" si="6"/>
        <v>容积率</v>
      </c>
      <c r="R11" s="701" t="s">
        <v>18</v>
      </c>
      <c r="S11" s="702" t="e">
        <f t="shared" si="0"/>
        <v>#N/A</v>
      </c>
      <c r="T11" s="701" t="s">
        <v>18</v>
      </c>
      <c r="U11" s="702" t="e">
        <f t="shared" si="1"/>
        <v>#N/A</v>
      </c>
      <c r="V11" s="701" t="s">
        <v>18</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4"/>
      <c r="Q12" s="1342">
        <f t="shared" si="6"/>
        <v>111</v>
      </c>
      <c r="R12" s="701" t="s">
        <v>18</v>
      </c>
      <c r="S12" s="702">
        <f t="shared" si="0"/>
        <v>100</v>
      </c>
      <c r="T12" s="701" t="s">
        <v>18</v>
      </c>
      <c r="U12" s="702">
        <f t="shared" si="1"/>
        <v>100</v>
      </c>
      <c r="V12" s="701" t="s">
        <v>18</v>
      </c>
      <c r="W12" s="702">
        <f t="shared" si="2"/>
        <v>100</v>
      </c>
      <c r="X12" s="703"/>
      <c r="Y12" s="36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4"/>
      <c r="Q13" s="1342">
        <f t="shared" si="6"/>
        <v>111</v>
      </c>
      <c r="R13" s="701" t="s">
        <v>18</v>
      </c>
      <c r="S13" s="702">
        <f t="shared" si="0"/>
        <v>100</v>
      </c>
      <c r="T13" s="701" t="s">
        <v>18</v>
      </c>
      <c r="U13" s="702">
        <f t="shared" si="1"/>
        <v>100</v>
      </c>
      <c r="V13" s="701" t="s">
        <v>18</v>
      </c>
      <c r="W13" s="702">
        <f t="shared" si="2"/>
        <v>100</v>
      </c>
      <c r="X13" s="703"/>
      <c r="Y13" s="366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4"/>
      <c r="Q14" s="1342">
        <f t="shared" si="6"/>
        <v>111</v>
      </c>
      <c r="R14" s="701" t="s">
        <v>18</v>
      </c>
      <c r="S14" s="702">
        <f t="shared" si="0"/>
        <v>100</v>
      </c>
      <c r="T14" s="701" t="s">
        <v>18</v>
      </c>
      <c r="U14" s="702">
        <f t="shared" si="1"/>
        <v>100</v>
      </c>
      <c r="V14" s="701" t="s">
        <v>18</v>
      </c>
      <c r="W14" s="702">
        <f t="shared" si="2"/>
        <v>100</v>
      </c>
      <c r="X14" s="703"/>
      <c r="Y14" s="3664"/>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1" t="s">
        <v>1690</v>
      </c>
      <c r="Q15" s="1351" t="str">
        <f t="shared" si="6"/>
        <v>居住社区成熟度</v>
      </c>
      <c r="R15" s="705" t="s">
        <v>18</v>
      </c>
      <c r="S15" s="706">
        <f t="shared" si="0"/>
        <v>100</v>
      </c>
      <c r="T15" s="705" t="s">
        <v>18</v>
      </c>
      <c r="U15" s="706">
        <f t="shared" si="1"/>
        <v>100</v>
      </c>
      <c r="V15" s="705" t="s">
        <v>18</v>
      </c>
      <c r="W15" s="706">
        <f t="shared" si="2"/>
        <v>100</v>
      </c>
      <c r="X15" s="1354"/>
      <c r="Y15" s="3754"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2"/>
      <c r="Q16" s="1351"/>
      <c r="R16" s="705"/>
      <c r="S16" s="706"/>
      <c r="T16" s="705"/>
      <c r="U16" s="706"/>
      <c r="V16" s="705"/>
      <c r="W16" s="706"/>
      <c r="X16" s="1354"/>
      <c r="Y16" s="3755"/>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2"/>
      <c r="Q17" s="1351" t="str">
        <f>B17</f>
        <v>交通便捷度</v>
      </c>
      <c r="R17" s="705" t="s">
        <v>18</v>
      </c>
      <c r="S17" s="706">
        <f>F17</f>
        <v>100</v>
      </c>
      <c r="T17" s="705" t="s">
        <v>18</v>
      </c>
      <c r="U17" s="706">
        <f>H17</f>
        <v>100</v>
      </c>
      <c r="V17" s="705" t="s">
        <v>18</v>
      </c>
      <c r="W17" s="706">
        <f>J17</f>
        <v>100</v>
      </c>
      <c r="X17" s="1354"/>
      <c r="Y17" s="375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2"/>
      <c r="Q18" s="1351"/>
      <c r="R18" s="705"/>
      <c r="S18" s="706"/>
      <c r="T18" s="705"/>
      <c r="U18" s="706"/>
      <c r="V18" s="705"/>
      <c r="W18" s="706"/>
      <c r="X18" s="1354"/>
      <c r="Y18" s="3755"/>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2"/>
      <c r="Q19" s="1351" t="str">
        <f>B19</f>
        <v>公共配套设施</v>
      </c>
      <c r="R19" s="705" t="s">
        <v>18</v>
      </c>
      <c r="S19" s="706">
        <f>F19</f>
        <v>100</v>
      </c>
      <c r="T19" s="705" t="s">
        <v>18</v>
      </c>
      <c r="U19" s="706">
        <f>H19</f>
        <v>100</v>
      </c>
      <c r="V19" s="705" t="s">
        <v>18</v>
      </c>
      <c r="W19" s="706">
        <f>J19</f>
        <v>100</v>
      </c>
      <c r="X19" s="1354"/>
      <c r="Y19" s="375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2"/>
      <c r="Q20" s="1351"/>
      <c r="R20" s="705"/>
      <c r="S20" s="706"/>
      <c r="T20" s="705"/>
      <c r="U20" s="706"/>
      <c r="V20" s="705"/>
      <c r="W20" s="706"/>
      <c r="X20" s="1354"/>
      <c r="Y20" s="3755"/>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2"/>
      <c r="Q22" s="1351"/>
      <c r="R22" s="705"/>
      <c r="S22" s="706"/>
      <c r="T22" s="705"/>
      <c r="U22" s="706"/>
      <c r="V22" s="705"/>
      <c r="W22" s="706"/>
      <c r="X22" s="1354"/>
      <c r="Y22" s="3755"/>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2"/>
      <c r="Q23" s="1351" t="str">
        <f>B23</f>
        <v>自然及人文环境</v>
      </c>
      <c r="R23" s="705" t="s">
        <v>18</v>
      </c>
      <c r="S23" s="706">
        <f>F23</f>
        <v>100</v>
      </c>
      <c r="T23" s="705" t="s">
        <v>18</v>
      </c>
      <c r="U23" s="706">
        <f>H23</f>
        <v>100</v>
      </c>
      <c r="V23" s="705" t="s">
        <v>18</v>
      </c>
      <c r="W23" s="706">
        <f>J23</f>
        <v>100</v>
      </c>
      <c r="X23" s="1354"/>
      <c r="Y23" s="375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2"/>
      <c r="Q24" s="1351"/>
      <c r="R24" s="705"/>
      <c r="S24" s="706"/>
      <c r="T24" s="705"/>
      <c r="U24" s="706"/>
      <c r="V24" s="705"/>
      <c r="W24" s="706"/>
      <c r="X24" s="1354"/>
      <c r="Y24" s="3755"/>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5"/>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2"/>
      <c r="Q26" s="1351" t="str">
        <f t="shared" si="11"/>
        <v>朝向</v>
      </c>
      <c r="R26" s="705" t="s">
        <v>18</v>
      </c>
      <c r="S26" s="706">
        <f t="shared" si="12"/>
        <v>100</v>
      </c>
      <c r="T26" s="705" t="s">
        <v>18</v>
      </c>
      <c r="U26" s="706">
        <f t="shared" si="13"/>
        <v>100</v>
      </c>
      <c r="V26" s="705" t="s">
        <v>18</v>
      </c>
      <c r="W26" s="706">
        <f t="shared" si="14"/>
        <v>100</v>
      </c>
      <c r="X26" s="1354"/>
      <c r="Y26" s="375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2"/>
      <c r="Q27" s="1342">
        <f t="shared" si="11"/>
        <v>111</v>
      </c>
      <c r="R27" s="701" t="s">
        <v>18</v>
      </c>
      <c r="S27" s="702">
        <f t="shared" si="12"/>
        <v>100</v>
      </c>
      <c r="T27" s="701" t="s">
        <v>18</v>
      </c>
      <c r="U27" s="702">
        <f t="shared" si="13"/>
        <v>100</v>
      </c>
      <c r="V27" s="701" t="s">
        <v>18</v>
      </c>
      <c r="W27" s="702">
        <f t="shared" si="14"/>
        <v>100</v>
      </c>
      <c r="X27" s="703"/>
      <c r="Y27" s="375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2"/>
      <c r="Q28" s="1351">
        <f t="shared" si="11"/>
        <v>111</v>
      </c>
      <c r="R28" s="705" t="s">
        <v>18</v>
      </c>
      <c r="S28" s="706">
        <f t="shared" si="12"/>
        <v>100</v>
      </c>
      <c r="T28" s="705" t="s">
        <v>18</v>
      </c>
      <c r="U28" s="706">
        <f t="shared" si="13"/>
        <v>100</v>
      </c>
      <c r="V28" s="705" t="s">
        <v>18</v>
      </c>
      <c r="W28" s="706">
        <f t="shared" si="14"/>
        <v>100</v>
      </c>
      <c r="X28" s="1354"/>
      <c r="Y28" s="375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2"/>
      <c r="Q29" s="1351">
        <f t="shared" si="11"/>
        <v>111</v>
      </c>
      <c r="R29" s="705" t="s">
        <v>18</v>
      </c>
      <c r="S29" s="706">
        <f t="shared" si="12"/>
        <v>100</v>
      </c>
      <c r="T29" s="705" t="s">
        <v>18</v>
      </c>
      <c r="U29" s="706">
        <f t="shared" si="13"/>
        <v>100</v>
      </c>
      <c r="V29" s="705" t="s">
        <v>18</v>
      </c>
      <c r="W29" s="706">
        <f t="shared" si="14"/>
        <v>100</v>
      </c>
      <c r="X29" s="1354"/>
      <c r="Y29" s="375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2"/>
      <c r="Q30" s="1351">
        <f t="shared" si="11"/>
        <v>111</v>
      </c>
      <c r="R30" s="705" t="s">
        <v>18</v>
      </c>
      <c r="S30" s="706">
        <f t="shared" si="12"/>
        <v>100</v>
      </c>
      <c r="T30" s="705" t="s">
        <v>18</v>
      </c>
      <c r="U30" s="706">
        <f t="shared" si="13"/>
        <v>100</v>
      </c>
      <c r="V30" s="705" t="s">
        <v>18</v>
      </c>
      <c r="W30" s="706">
        <f t="shared" si="14"/>
        <v>100</v>
      </c>
      <c r="X30" s="1354"/>
      <c r="Y30" s="375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2"/>
      <c r="Q31" s="1351">
        <f t="shared" si="11"/>
        <v>111</v>
      </c>
      <c r="R31" s="705" t="s">
        <v>18</v>
      </c>
      <c r="S31" s="706">
        <f t="shared" si="12"/>
        <v>100</v>
      </c>
      <c r="T31" s="705" t="s">
        <v>18</v>
      </c>
      <c r="U31" s="706">
        <f t="shared" si="13"/>
        <v>100</v>
      </c>
      <c r="V31" s="705" t="s">
        <v>18</v>
      </c>
      <c r="W31" s="706">
        <f t="shared" si="14"/>
        <v>100</v>
      </c>
      <c r="X31" s="1354"/>
      <c r="Y31" s="3755"/>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6" t="s">
        <v>1695</v>
      </c>
      <c r="Q32" s="1351" t="str">
        <f t="shared" si="11"/>
        <v>建筑类型</v>
      </c>
      <c r="R32" s="705" t="s">
        <v>18</v>
      </c>
      <c r="S32" s="706">
        <f t="shared" si="12"/>
        <v>100</v>
      </c>
      <c r="T32" s="705" t="s">
        <v>18</v>
      </c>
      <c r="U32" s="706">
        <f t="shared" si="13"/>
        <v>100</v>
      </c>
      <c r="V32" s="705" t="s">
        <v>18</v>
      </c>
      <c r="W32" s="706">
        <f t="shared" si="14"/>
        <v>100</v>
      </c>
      <c r="X32" s="1354"/>
      <c r="Y32" s="3759"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57"/>
      <c r="Q33" s="707" t="str">
        <f t="shared" si="11"/>
        <v>项目建筑规模</v>
      </c>
      <c r="R33" s="708" t="s">
        <v>18</v>
      </c>
      <c r="S33" s="709" t="e">
        <f t="shared" si="12"/>
        <v>#N/A</v>
      </c>
      <c r="T33" s="708" t="s">
        <v>18</v>
      </c>
      <c r="U33" s="709" t="e">
        <f t="shared" si="13"/>
        <v>#N/A</v>
      </c>
      <c r="V33" s="708" t="s">
        <v>18</v>
      </c>
      <c r="W33" s="709" t="e">
        <f t="shared" si="14"/>
        <v>#N/A</v>
      </c>
      <c r="X33" s="710"/>
      <c r="Y33" s="3759"/>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57"/>
      <c r="Q34" s="1351" t="str">
        <f t="shared" si="11"/>
        <v>建筑结构</v>
      </c>
      <c r="R34" s="705" t="s">
        <v>18</v>
      </c>
      <c r="S34" s="706">
        <f t="shared" si="12"/>
        <v>100</v>
      </c>
      <c r="T34" s="705" t="s">
        <v>18</v>
      </c>
      <c r="U34" s="706">
        <f t="shared" si="13"/>
        <v>100</v>
      </c>
      <c r="V34" s="705" t="s">
        <v>18</v>
      </c>
      <c r="W34" s="706">
        <f t="shared" si="14"/>
        <v>100</v>
      </c>
      <c r="X34" s="1354"/>
      <c r="Y34" s="3759"/>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57"/>
      <c r="Q35" s="1351" t="str">
        <f t="shared" si="11"/>
        <v>建筑品质</v>
      </c>
      <c r="R35" s="705" t="s">
        <v>18</v>
      </c>
      <c r="S35" s="706">
        <f t="shared" si="12"/>
        <v>100</v>
      </c>
      <c r="T35" s="705" t="s">
        <v>18</v>
      </c>
      <c r="U35" s="706">
        <f t="shared" si="13"/>
        <v>100</v>
      </c>
      <c r="V35" s="705" t="s">
        <v>18</v>
      </c>
      <c r="W35" s="706">
        <f t="shared" si="14"/>
        <v>100</v>
      </c>
      <c r="X35" s="1354"/>
      <c r="Y35" s="3759"/>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57"/>
      <c r="Q36" s="1351" t="str">
        <f t="shared" si="11"/>
        <v>公共部分装修</v>
      </c>
      <c r="R36" s="705" t="s">
        <v>18</v>
      </c>
      <c r="S36" s="706">
        <f t="shared" si="12"/>
        <v>100</v>
      </c>
      <c r="T36" s="705" t="s">
        <v>18</v>
      </c>
      <c r="U36" s="706">
        <f t="shared" si="13"/>
        <v>100</v>
      </c>
      <c r="V36" s="705" t="s">
        <v>18</v>
      </c>
      <c r="W36" s="706">
        <f t="shared" si="14"/>
        <v>100</v>
      </c>
      <c r="X36" s="1354"/>
      <c r="Y36" s="3759"/>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7"/>
      <c r="Q37" s="1342" t="str">
        <f t="shared" si="11"/>
        <v>成新度</v>
      </c>
      <c r="R37" s="701" t="s">
        <v>18</v>
      </c>
      <c r="S37" s="702" t="e">
        <f t="shared" si="12"/>
        <v>#N/A</v>
      </c>
      <c r="T37" s="701" t="s">
        <v>18</v>
      </c>
      <c r="U37" s="702" t="e">
        <f t="shared" si="13"/>
        <v>#N/A</v>
      </c>
      <c r="V37" s="701" t="s">
        <v>18</v>
      </c>
      <c r="W37" s="702" t="e">
        <f t="shared" si="14"/>
        <v>#N/A</v>
      </c>
      <c r="X37" s="703"/>
      <c r="Y37" s="3759"/>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57" t="s">
        <v>1695</v>
      </c>
      <c r="Q38" s="1351" t="str">
        <f t="shared" si="11"/>
        <v>物业管理</v>
      </c>
      <c r="R38" s="705" t="s">
        <v>18</v>
      </c>
      <c r="S38" s="706">
        <f t="shared" si="12"/>
        <v>100</v>
      </c>
      <c r="T38" s="705" t="s">
        <v>18</v>
      </c>
      <c r="U38" s="706">
        <f t="shared" si="13"/>
        <v>100</v>
      </c>
      <c r="V38" s="705" t="s">
        <v>18</v>
      </c>
      <c r="W38" s="706">
        <f t="shared" si="14"/>
        <v>100</v>
      </c>
      <c r="X38" s="1354"/>
      <c r="Y38" s="3759"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7"/>
      <c r="Q39" s="1351" t="str">
        <f t="shared" si="11"/>
        <v>市政基础设施</v>
      </c>
      <c r="R39" s="705" t="s">
        <v>18</v>
      </c>
      <c r="S39" s="706">
        <f t="shared" si="12"/>
        <v>100</v>
      </c>
      <c r="T39" s="705" t="s">
        <v>18</v>
      </c>
      <c r="U39" s="706">
        <f t="shared" si="13"/>
        <v>100</v>
      </c>
      <c r="V39" s="705" t="s">
        <v>18</v>
      </c>
      <c r="W39" s="706">
        <f t="shared" si="14"/>
        <v>100</v>
      </c>
      <c r="X39" s="1354"/>
      <c r="Y39" s="3759"/>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57"/>
      <c r="Q40" s="1351" t="str">
        <f t="shared" si="11"/>
        <v>房型</v>
      </c>
      <c r="R40" s="705" t="s">
        <v>18</v>
      </c>
      <c r="S40" s="706">
        <f t="shared" si="12"/>
        <v>100</v>
      </c>
      <c r="T40" s="705" t="s">
        <v>18</v>
      </c>
      <c r="U40" s="706">
        <f t="shared" si="13"/>
        <v>100</v>
      </c>
      <c r="V40" s="705" t="s">
        <v>18</v>
      </c>
      <c r="W40" s="706">
        <f t="shared" si="14"/>
        <v>100</v>
      </c>
      <c r="X40" s="1354"/>
      <c r="Y40" s="3759"/>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7"/>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57"/>
      <c r="Q42" s="1351" t="str">
        <f t="shared" si="11"/>
        <v>内部装修</v>
      </c>
      <c r="R42" s="705" t="s">
        <v>18</v>
      </c>
      <c r="S42" s="706">
        <f t="shared" si="12"/>
        <v>100</v>
      </c>
      <c r="T42" s="705" t="s">
        <v>18</v>
      </c>
      <c r="U42" s="706">
        <f t="shared" si="13"/>
        <v>100</v>
      </c>
      <c r="V42" s="705" t="s">
        <v>18</v>
      </c>
      <c r="W42" s="706">
        <f t="shared" si="14"/>
        <v>100</v>
      </c>
      <c r="X42" s="1354"/>
      <c r="Y42" s="3759"/>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57"/>
      <c r="Q43" s="1351" t="str">
        <f t="shared" si="11"/>
        <v>内部装修维护情况</v>
      </c>
      <c r="R43" s="705" t="s">
        <v>18</v>
      </c>
      <c r="S43" s="706">
        <f t="shared" si="12"/>
        <v>100</v>
      </c>
      <c r="T43" s="705" t="s">
        <v>18</v>
      </c>
      <c r="U43" s="706">
        <f t="shared" si="13"/>
        <v>100</v>
      </c>
      <c r="V43" s="705" t="s">
        <v>18</v>
      </c>
      <c r="W43" s="706">
        <f t="shared" si="14"/>
        <v>100</v>
      </c>
      <c r="X43" s="1354"/>
      <c r="Y43" s="375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57"/>
      <c r="Q44" s="1342">
        <f t="shared" si="11"/>
        <v>111</v>
      </c>
      <c r="R44" s="701" t="s">
        <v>18</v>
      </c>
      <c r="S44" s="702">
        <f t="shared" si="12"/>
        <v>100</v>
      </c>
      <c r="T44" s="701" t="s">
        <v>18</v>
      </c>
      <c r="U44" s="702">
        <f t="shared" si="13"/>
        <v>100</v>
      </c>
      <c r="V44" s="701" t="s">
        <v>18</v>
      </c>
      <c r="W44" s="702">
        <f t="shared" si="14"/>
        <v>100</v>
      </c>
      <c r="X44" s="703"/>
      <c r="Y44" s="37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7"/>
      <c r="Q45" s="1351">
        <f t="shared" si="11"/>
        <v>111</v>
      </c>
      <c r="R45" s="705" t="s">
        <v>18</v>
      </c>
      <c r="S45" s="706">
        <f t="shared" si="12"/>
        <v>100</v>
      </c>
      <c r="T45" s="705" t="s">
        <v>18</v>
      </c>
      <c r="U45" s="706">
        <f t="shared" si="13"/>
        <v>100</v>
      </c>
      <c r="V45" s="705" t="s">
        <v>18</v>
      </c>
      <c r="W45" s="706">
        <f t="shared" si="14"/>
        <v>100</v>
      </c>
      <c r="X45" s="1354"/>
      <c r="Y45" s="375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8"/>
      <c r="Q46" s="1351">
        <f t="shared" si="11"/>
        <v>111</v>
      </c>
      <c r="R46" s="705" t="s">
        <v>17</v>
      </c>
      <c r="S46" s="706">
        <f t="shared" si="12"/>
        <v>100</v>
      </c>
      <c r="T46" s="705" t="s">
        <v>17</v>
      </c>
      <c r="U46" s="706">
        <f t="shared" si="13"/>
        <v>100</v>
      </c>
      <c r="V46" s="705" t="s">
        <v>17</v>
      </c>
      <c r="W46" s="706">
        <f t="shared" si="14"/>
        <v>100</v>
      </c>
      <c r="X46" s="1354"/>
      <c r="Y46" s="3760"/>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752" t="str">
        <f>A47</f>
        <v>成交单价（元/平方米）</v>
      </c>
      <c r="Q47" s="3752"/>
      <c r="R47" s="3753">
        <f>E47</f>
        <v>0</v>
      </c>
      <c r="S47" s="3753"/>
      <c r="T47" s="3753">
        <f>G47</f>
        <v>0</v>
      </c>
      <c r="U47" s="3753"/>
      <c r="V47" s="3753">
        <f>I47</f>
        <v>0</v>
      </c>
      <c r="W47" s="3753"/>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199991.93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22" t="s">
        <v>1770</v>
      </c>
      <c r="S4" s="3723"/>
      <c r="T4" s="3722" t="s">
        <v>1771</v>
      </c>
      <c r="U4" s="3723"/>
      <c r="V4" s="3747" t="s">
        <v>1772</v>
      </c>
      <c r="W4" s="3747"/>
      <c r="X4" s="1354"/>
      <c r="Y4" s="3722" t="s">
        <v>1774</v>
      </c>
      <c r="Z4" s="3723"/>
      <c r="AA4" s="3717" t="s">
        <v>1770</v>
      </c>
      <c r="AB4" s="3747" t="s">
        <v>1771</v>
      </c>
      <c r="AC4" s="3717" t="s">
        <v>1772</v>
      </c>
    </row>
    <row r="5" spans="1:29" ht="15">
      <c r="A5" s="358"/>
      <c r="B5" s="359"/>
      <c r="C5" s="3728" t="s">
        <v>1672</v>
      </c>
      <c r="D5" s="3729"/>
      <c r="E5" s="3726" t="s">
        <v>1673</v>
      </c>
      <c r="F5" s="3727"/>
      <c r="G5" s="3728" t="s">
        <v>1674</v>
      </c>
      <c r="H5" s="3729"/>
      <c r="I5" s="3728" t="s">
        <v>1675</v>
      </c>
      <c r="J5" s="3729"/>
      <c r="K5" s="559"/>
      <c r="L5" s="2714"/>
      <c r="M5" s="2715"/>
      <c r="N5" s="2715"/>
      <c r="O5" s="2715"/>
      <c r="P5" s="3741"/>
      <c r="Q5" s="3742"/>
      <c r="R5" s="3724"/>
      <c r="S5" s="3725"/>
      <c r="T5" s="3724"/>
      <c r="U5" s="3725"/>
      <c r="V5" s="3747"/>
      <c r="W5" s="3747"/>
      <c r="X5" s="1354"/>
      <c r="Y5" s="3724"/>
      <c r="Z5" s="3725"/>
      <c r="AA5" s="3718"/>
      <c r="AB5" s="3747"/>
      <c r="AC5" s="3718"/>
    </row>
    <row r="6" spans="1:29" ht="15.75" thickBot="1">
      <c r="A6" s="360"/>
      <c r="B6" s="361"/>
      <c r="C6" s="3730" t="s">
        <v>1676</v>
      </c>
      <c r="D6" s="3731"/>
      <c r="E6" s="3732" t="s">
        <v>1676</v>
      </c>
      <c r="F6" s="3733"/>
      <c r="G6" s="3730" t="s">
        <v>1676</v>
      </c>
      <c r="H6" s="3731"/>
      <c r="I6" s="3730" t="s">
        <v>1676</v>
      </c>
      <c r="J6" s="3731"/>
      <c r="K6" s="559" t="s">
        <v>1677</v>
      </c>
      <c r="L6" s="2714"/>
      <c r="M6" s="2715"/>
      <c r="N6" s="2715"/>
      <c r="O6" s="2715"/>
      <c r="P6" s="3743"/>
      <c r="Q6" s="3744"/>
      <c r="R6" s="3724"/>
      <c r="S6" s="3725"/>
      <c r="T6" s="3745"/>
      <c r="U6" s="3746"/>
      <c r="V6" s="3747"/>
      <c r="W6" s="3747"/>
      <c r="X6" s="1354"/>
      <c r="Y6" s="3745"/>
      <c r="Z6" s="3746"/>
      <c r="AA6" s="3719"/>
      <c r="AB6" s="3747"/>
      <c r="AC6" s="3719"/>
    </row>
    <row r="7" spans="1:29" s="108" customFormat="1" ht="15.75" thickBot="1">
      <c r="A7" s="362" t="s">
        <v>1678</v>
      </c>
      <c r="B7" s="363"/>
      <c r="C7" s="364">
        <f>'数据-取费表'!B2</f>
        <v>45182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0" t="s">
        <v>1679</v>
      </c>
      <c r="Q7" s="3748"/>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4"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4"/>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4"/>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4"/>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4"/>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1" t="s">
        <v>1690</v>
      </c>
      <c r="Q15" s="1351" t="str">
        <f t="shared" si="6"/>
        <v>商业繁华度</v>
      </c>
      <c r="R15" s="705" t="s">
        <v>14</v>
      </c>
      <c r="S15" s="706">
        <f t="shared" si="0"/>
        <v>100</v>
      </c>
      <c r="T15" s="705" t="s">
        <v>14</v>
      </c>
      <c r="U15" s="706">
        <f t="shared" si="1"/>
        <v>100</v>
      </c>
      <c r="V15" s="705" t="s">
        <v>14</v>
      </c>
      <c r="W15" s="706">
        <f t="shared" si="2"/>
        <v>100</v>
      </c>
      <c r="X15" s="1354"/>
      <c r="Y15" s="3754"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2"/>
      <c r="Q16" s="1351"/>
      <c r="R16" s="705"/>
      <c r="S16" s="706"/>
      <c r="T16" s="705"/>
      <c r="U16" s="706"/>
      <c r="V16" s="705"/>
      <c r="W16" s="706"/>
      <c r="X16" s="1354"/>
      <c r="Y16" s="3755"/>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2"/>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2"/>
      <c r="Q18" s="1351"/>
      <c r="R18" s="705"/>
      <c r="S18" s="706"/>
      <c r="T18" s="705"/>
      <c r="U18" s="706"/>
      <c r="V18" s="705"/>
      <c r="W18" s="706"/>
      <c r="X18" s="1354"/>
      <c r="Y18" s="3755"/>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2"/>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2"/>
      <c r="Q20" s="1351"/>
      <c r="R20" s="705"/>
      <c r="S20" s="706"/>
      <c r="T20" s="705"/>
      <c r="U20" s="706"/>
      <c r="V20" s="705"/>
      <c r="W20" s="706"/>
      <c r="X20" s="1354"/>
      <c r="Y20" s="3755"/>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2"/>
      <c r="Q22" s="1351"/>
      <c r="R22" s="705"/>
      <c r="S22" s="706"/>
      <c r="T22" s="705"/>
      <c r="U22" s="706"/>
      <c r="V22" s="705"/>
      <c r="W22" s="706"/>
      <c r="X22" s="1354"/>
      <c r="Y22" s="3755"/>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2"/>
      <c r="Q23" s="1351" t="str">
        <f>B23</f>
        <v>自然及人文环境</v>
      </c>
      <c r="R23" s="705" t="s">
        <v>14</v>
      </c>
      <c r="S23" s="706">
        <f>F23</f>
        <v>100</v>
      </c>
      <c r="T23" s="705" t="s">
        <v>14</v>
      </c>
      <c r="U23" s="706">
        <f>H23</f>
        <v>100</v>
      </c>
      <c r="V23" s="705" t="s">
        <v>14</v>
      </c>
      <c r="W23" s="706">
        <f>J23</f>
        <v>100</v>
      </c>
      <c r="X23" s="1354"/>
      <c r="Y23" s="375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2"/>
      <c r="Q24" s="1351"/>
      <c r="R24" s="705"/>
      <c r="S24" s="706"/>
      <c r="T24" s="705"/>
      <c r="U24" s="706"/>
      <c r="V24" s="705"/>
      <c r="W24" s="706"/>
      <c r="X24" s="1354"/>
      <c r="Y24" s="3755"/>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2"/>
      <c r="Q25" s="1351" t="str">
        <f t="shared" ref="Q25:Q46" si="11">B25</f>
        <v>临街状况</v>
      </c>
      <c r="R25" s="705" t="s">
        <v>14</v>
      </c>
      <c r="S25" s="706">
        <f>F25</f>
        <v>100</v>
      </c>
      <c r="T25" s="705" t="s">
        <v>14</v>
      </c>
      <c r="U25" s="706">
        <f>H25</f>
        <v>100</v>
      </c>
      <c r="V25" s="705" t="s">
        <v>14</v>
      </c>
      <c r="W25" s="706">
        <f>J25</f>
        <v>100</v>
      </c>
      <c r="X25" s="1354"/>
      <c r="Y25" s="3755"/>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2"/>
      <c r="Q26" s="1351" t="str">
        <f t="shared" si="11"/>
        <v>平面位置/可视性</v>
      </c>
      <c r="R26" s="705" t="s">
        <v>14</v>
      </c>
      <c r="S26" s="706">
        <f>F26</f>
        <v>100</v>
      </c>
      <c r="T26" s="705" t="s">
        <v>14</v>
      </c>
      <c r="U26" s="706">
        <f>H26</f>
        <v>100</v>
      </c>
      <c r="V26" s="705" t="s">
        <v>14</v>
      </c>
      <c r="W26" s="706">
        <f>J26</f>
        <v>100</v>
      </c>
      <c r="X26" s="1354"/>
      <c r="Y26" s="3755"/>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2"/>
      <c r="Q27" s="1342" t="str">
        <f t="shared" si="11"/>
        <v>人流量</v>
      </c>
      <c r="R27" s="701" t="s">
        <v>14</v>
      </c>
      <c r="S27" s="702">
        <f>F27</f>
        <v>100</v>
      </c>
      <c r="T27" s="701" t="s">
        <v>14</v>
      </c>
      <c r="U27" s="702">
        <f>H27</f>
        <v>100</v>
      </c>
      <c r="V27" s="701" t="s">
        <v>14</v>
      </c>
      <c r="W27" s="702">
        <f>J27</f>
        <v>100</v>
      </c>
      <c r="X27" s="703"/>
      <c r="Y27" s="3755"/>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2"/>
      <c r="Q29" s="1351">
        <f t="shared" si="11"/>
        <v>111</v>
      </c>
      <c r="R29" s="705" t="s">
        <v>14</v>
      </c>
      <c r="S29" s="706">
        <f t="shared" si="12"/>
        <v>100</v>
      </c>
      <c r="T29" s="705" t="s">
        <v>14</v>
      </c>
      <c r="U29" s="706">
        <f t="shared" si="13"/>
        <v>100</v>
      </c>
      <c r="V29" s="705" t="s">
        <v>14</v>
      </c>
      <c r="W29" s="706">
        <f t="shared" si="14"/>
        <v>100</v>
      </c>
      <c r="X29" s="1354"/>
      <c r="Y29" s="375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2"/>
      <c r="Q30" s="1351">
        <f t="shared" si="11"/>
        <v>111</v>
      </c>
      <c r="R30" s="705" t="s">
        <v>14</v>
      </c>
      <c r="S30" s="706">
        <f t="shared" si="12"/>
        <v>100</v>
      </c>
      <c r="T30" s="705" t="s">
        <v>14</v>
      </c>
      <c r="U30" s="706">
        <f t="shared" si="13"/>
        <v>100</v>
      </c>
      <c r="V30" s="705" t="s">
        <v>14</v>
      </c>
      <c r="W30" s="706">
        <f t="shared" si="14"/>
        <v>100</v>
      </c>
      <c r="X30" s="1354"/>
      <c r="Y30" s="375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2"/>
      <c r="Q31" s="1351">
        <f t="shared" si="11"/>
        <v>111</v>
      </c>
      <c r="R31" s="705" t="s">
        <v>14</v>
      </c>
      <c r="S31" s="706">
        <f t="shared" si="12"/>
        <v>100</v>
      </c>
      <c r="T31" s="705" t="s">
        <v>14</v>
      </c>
      <c r="U31" s="706">
        <f t="shared" si="13"/>
        <v>100</v>
      </c>
      <c r="V31" s="705" t="s">
        <v>14</v>
      </c>
      <c r="W31" s="706">
        <f t="shared" si="14"/>
        <v>100</v>
      </c>
      <c r="X31" s="1354"/>
      <c r="Y31" s="3755"/>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6" t="s">
        <v>1695</v>
      </c>
      <c r="Q32" s="1351" t="str">
        <f t="shared" si="11"/>
        <v>商业类型</v>
      </c>
      <c r="R32" s="705" t="s">
        <v>14</v>
      </c>
      <c r="S32" s="706">
        <f t="shared" si="12"/>
        <v>100</v>
      </c>
      <c r="T32" s="705" t="s">
        <v>14</v>
      </c>
      <c r="U32" s="706">
        <f t="shared" si="13"/>
        <v>100</v>
      </c>
      <c r="V32" s="705" t="s">
        <v>14</v>
      </c>
      <c r="W32" s="706">
        <f t="shared" si="14"/>
        <v>100</v>
      </c>
      <c r="X32" s="1354"/>
      <c r="Y32" s="3759"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7"/>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7"/>
      <c r="Q34" s="1351" t="str">
        <f t="shared" si="11"/>
        <v>建筑结构</v>
      </c>
      <c r="R34" s="705" t="s">
        <v>14</v>
      </c>
      <c r="S34" s="706">
        <f t="shared" si="12"/>
        <v>100</v>
      </c>
      <c r="T34" s="705" t="s">
        <v>14</v>
      </c>
      <c r="U34" s="706">
        <f t="shared" si="13"/>
        <v>100</v>
      </c>
      <c r="V34" s="705" t="s">
        <v>14</v>
      </c>
      <c r="W34" s="706">
        <f t="shared" si="14"/>
        <v>100</v>
      </c>
      <c r="X34" s="1354"/>
      <c r="Y34" s="3759"/>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7"/>
      <c r="Q35" s="1351" t="str">
        <f t="shared" si="11"/>
        <v>公共部分装修</v>
      </c>
      <c r="R35" s="705" t="s">
        <v>14</v>
      </c>
      <c r="S35" s="706">
        <f t="shared" si="12"/>
        <v>100</v>
      </c>
      <c r="T35" s="705" t="s">
        <v>14</v>
      </c>
      <c r="U35" s="706">
        <f t="shared" si="13"/>
        <v>100</v>
      </c>
      <c r="V35" s="705" t="s">
        <v>14</v>
      </c>
      <c r="W35" s="706">
        <f t="shared" si="14"/>
        <v>100</v>
      </c>
      <c r="X35" s="1354"/>
      <c r="Y35" s="3759"/>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7"/>
      <c r="Q36" s="1351" t="str">
        <f t="shared" si="11"/>
        <v>成新度</v>
      </c>
      <c r="R36" s="705" t="s">
        <v>14</v>
      </c>
      <c r="S36" s="706" t="e">
        <f t="shared" si="12"/>
        <v>#N/A</v>
      </c>
      <c r="T36" s="705" t="s">
        <v>14</v>
      </c>
      <c r="U36" s="706" t="e">
        <f t="shared" si="13"/>
        <v>#N/A</v>
      </c>
      <c r="V36" s="705" t="s">
        <v>14</v>
      </c>
      <c r="W36" s="706" t="e">
        <f t="shared" si="14"/>
        <v>#N/A</v>
      </c>
      <c r="X36" s="1354"/>
      <c r="Y36" s="3759"/>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7"/>
      <c r="Q37" s="1342"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7" t="s">
        <v>1695</v>
      </c>
      <c r="Q38" s="1351" t="str">
        <f t="shared" si="11"/>
        <v>业态</v>
      </c>
      <c r="R38" s="705" t="s">
        <v>14</v>
      </c>
      <c r="S38" s="706">
        <f t="shared" si="12"/>
        <v>100</v>
      </c>
      <c r="T38" s="705" t="s">
        <v>14</v>
      </c>
      <c r="U38" s="706">
        <f t="shared" si="13"/>
        <v>100</v>
      </c>
      <c r="V38" s="705" t="s">
        <v>14</v>
      </c>
      <c r="W38" s="706">
        <f t="shared" si="14"/>
        <v>100</v>
      </c>
      <c r="X38" s="1354"/>
      <c r="Y38" s="3759"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7"/>
      <c r="Q39" s="1351" t="str">
        <f t="shared" si="11"/>
        <v>层高</v>
      </c>
      <c r="R39" s="705" t="s">
        <v>14</v>
      </c>
      <c r="S39" s="706">
        <f t="shared" si="12"/>
        <v>100</v>
      </c>
      <c r="T39" s="705" t="s">
        <v>14</v>
      </c>
      <c r="U39" s="706">
        <f t="shared" si="13"/>
        <v>100</v>
      </c>
      <c r="V39" s="705" t="s">
        <v>14</v>
      </c>
      <c r="W39" s="706">
        <f t="shared" si="14"/>
        <v>100</v>
      </c>
      <c r="X39" s="1354"/>
      <c r="Y39" s="3759"/>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7"/>
      <c r="Q40" s="1351" t="str">
        <f t="shared" si="11"/>
        <v>单套建筑面积</v>
      </c>
      <c r="R40" s="705" t="s">
        <v>14</v>
      </c>
      <c r="S40" s="706">
        <f t="shared" si="12"/>
        <v>100</v>
      </c>
      <c r="T40" s="705" t="s">
        <v>14</v>
      </c>
      <c r="U40" s="706">
        <f t="shared" si="13"/>
        <v>100</v>
      </c>
      <c r="V40" s="705" t="s">
        <v>14</v>
      </c>
      <c r="W40" s="706">
        <f t="shared" si="14"/>
        <v>100</v>
      </c>
      <c r="X40" s="1354"/>
      <c r="Y40" s="3759"/>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7"/>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7"/>
      <c r="Q42" s="1351" t="str">
        <f t="shared" si="11"/>
        <v>内部装修</v>
      </c>
      <c r="R42" s="705" t="s">
        <v>14</v>
      </c>
      <c r="S42" s="706">
        <f t="shared" si="12"/>
        <v>100</v>
      </c>
      <c r="T42" s="705" t="s">
        <v>14</v>
      </c>
      <c r="U42" s="706">
        <f t="shared" si="13"/>
        <v>100</v>
      </c>
      <c r="V42" s="705" t="s">
        <v>14</v>
      </c>
      <c r="W42" s="706">
        <f t="shared" si="14"/>
        <v>100</v>
      </c>
      <c r="X42" s="1354"/>
      <c r="Y42" s="3759"/>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7"/>
      <c r="Q43" s="1351" t="str">
        <f t="shared" si="11"/>
        <v>内部装修维护情况</v>
      </c>
      <c r="R43" s="705" t="s">
        <v>14</v>
      </c>
      <c r="S43" s="706">
        <f t="shared" si="12"/>
        <v>100</v>
      </c>
      <c r="T43" s="705" t="s">
        <v>14</v>
      </c>
      <c r="U43" s="706">
        <f t="shared" si="13"/>
        <v>100</v>
      </c>
      <c r="V43" s="705" t="s">
        <v>14</v>
      </c>
      <c r="W43" s="706">
        <f t="shared" si="14"/>
        <v>100</v>
      </c>
      <c r="X43" s="1354"/>
      <c r="Y43" s="375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7"/>
      <c r="Q44" s="1342">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7"/>
      <c r="Q45" s="1351">
        <f t="shared" si="11"/>
        <v>111</v>
      </c>
      <c r="R45" s="705" t="s">
        <v>14</v>
      </c>
      <c r="S45" s="706">
        <f t="shared" si="12"/>
        <v>100</v>
      </c>
      <c r="T45" s="705" t="s">
        <v>14</v>
      </c>
      <c r="U45" s="706">
        <f t="shared" si="13"/>
        <v>100</v>
      </c>
      <c r="V45" s="705" t="s">
        <v>14</v>
      </c>
      <c r="W45" s="706">
        <f t="shared" si="14"/>
        <v>100</v>
      </c>
      <c r="X45" s="1354"/>
      <c r="Y45" s="375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8"/>
      <c r="Q46" s="1351">
        <f t="shared" si="11"/>
        <v>111</v>
      </c>
      <c r="R46" s="705" t="s">
        <v>14</v>
      </c>
      <c r="S46" s="706">
        <f t="shared" si="12"/>
        <v>100</v>
      </c>
      <c r="T46" s="705" t="s">
        <v>14</v>
      </c>
      <c r="U46" s="706">
        <f t="shared" si="13"/>
        <v>100</v>
      </c>
      <c r="V46" s="705" t="s">
        <v>14</v>
      </c>
      <c r="W46" s="706">
        <f t="shared" si="14"/>
        <v>100</v>
      </c>
      <c r="X46" s="1354"/>
      <c r="Y46" s="3760"/>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752" t="str">
        <f>A47</f>
        <v>成交单价（元/平方米）</v>
      </c>
      <c r="Q47" s="3752"/>
      <c r="R47" s="3747">
        <f>E47</f>
        <v>0</v>
      </c>
      <c r="S47" s="3747"/>
      <c r="T47" s="3747">
        <f>G47</f>
        <v>0</v>
      </c>
      <c r="U47" s="3747"/>
      <c r="V47" s="3747">
        <f>I47</f>
        <v>0</v>
      </c>
      <c r="W47" s="3747"/>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估价对象为房地产，为所有。根据《国有土地使用证》[]，估价对象（分摊）出让国有建设用地使用权面积为50687.57平方米，建筑面积为199991.93平方米。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估价对象为房地产,属开发建设的，该项目尚在开发建设中。根据《国有土地使用证》[]，估价对象（分摊）出让国有建设用地使用权面积为50687.57平方米，规划建筑面积为199991.93平方米。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199991.93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69" t="s">
        <v>1774</v>
      </c>
      <c r="Q4" s="3770"/>
      <c r="R4" s="3764" t="s">
        <v>1770</v>
      </c>
      <c r="S4" s="3765"/>
      <c r="T4" s="3764" t="s">
        <v>1771</v>
      </c>
      <c r="U4" s="3765"/>
      <c r="V4" s="3773" t="s">
        <v>1772</v>
      </c>
      <c r="W4" s="3773"/>
      <c r="X4" s="1957"/>
      <c r="Y4" s="3764" t="s">
        <v>1774</v>
      </c>
      <c r="Z4" s="3765"/>
      <c r="AA4" s="3763" t="s">
        <v>1770</v>
      </c>
      <c r="AB4" s="3763" t="s">
        <v>1771</v>
      </c>
      <c r="AC4" s="3766" t="s">
        <v>1772</v>
      </c>
    </row>
    <row r="5" spans="1:29" ht="15">
      <c r="A5" s="358"/>
      <c r="B5" s="359"/>
      <c r="C5" s="3728" t="s">
        <v>1672</v>
      </c>
      <c r="D5" s="3729"/>
      <c r="E5" s="3726" t="s">
        <v>1673</v>
      </c>
      <c r="F5" s="3727"/>
      <c r="G5" s="3728" t="s">
        <v>1674</v>
      </c>
      <c r="H5" s="3729"/>
      <c r="I5" s="3728" t="s">
        <v>1675</v>
      </c>
      <c r="J5" s="3729"/>
      <c r="K5" s="559"/>
      <c r="L5" s="2714"/>
      <c r="M5" s="2715"/>
      <c r="N5" s="2715"/>
      <c r="O5" s="2715"/>
      <c r="P5" s="3771"/>
      <c r="Q5" s="3742"/>
      <c r="R5" s="3724"/>
      <c r="S5" s="3725"/>
      <c r="T5" s="3724"/>
      <c r="U5" s="3725"/>
      <c r="V5" s="3747"/>
      <c r="W5" s="3747"/>
      <c r="X5" s="1354"/>
      <c r="Y5" s="3724"/>
      <c r="Z5" s="3725"/>
      <c r="AA5" s="3718"/>
      <c r="AB5" s="3718"/>
      <c r="AC5" s="3767"/>
    </row>
    <row r="6" spans="1:29" ht="15.75" thickBot="1">
      <c r="A6" s="360"/>
      <c r="B6" s="361"/>
      <c r="C6" s="3730" t="s">
        <v>1676</v>
      </c>
      <c r="D6" s="3731"/>
      <c r="E6" s="3732" t="s">
        <v>1676</v>
      </c>
      <c r="F6" s="3733"/>
      <c r="G6" s="3730" t="s">
        <v>1676</v>
      </c>
      <c r="H6" s="3731"/>
      <c r="I6" s="3730" t="s">
        <v>1676</v>
      </c>
      <c r="J6" s="3731"/>
      <c r="K6" s="559" t="s">
        <v>1677</v>
      </c>
      <c r="L6" s="2714"/>
      <c r="M6" s="2715"/>
      <c r="N6" s="2715"/>
      <c r="O6" s="2715"/>
      <c r="P6" s="3772"/>
      <c r="Q6" s="3744"/>
      <c r="R6" s="3724"/>
      <c r="S6" s="3725"/>
      <c r="T6" s="3745"/>
      <c r="U6" s="3746"/>
      <c r="V6" s="3747"/>
      <c r="W6" s="3747"/>
      <c r="X6" s="1354"/>
      <c r="Y6" s="3745"/>
      <c r="Z6" s="3746"/>
      <c r="AA6" s="3719"/>
      <c r="AB6" s="3719"/>
      <c r="AC6" s="3768"/>
    </row>
    <row r="7" spans="1:29" s="108" customFormat="1" ht="15.75" thickBot="1">
      <c r="A7" s="362" t="s">
        <v>1678</v>
      </c>
      <c r="B7" s="363"/>
      <c r="C7" s="364">
        <f>'数据-取费表'!B2</f>
        <v>45182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4" t="s">
        <v>1679</v>
      </c>
      <c r="Q7" s="3748"/>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4" t="s">
        <v>1682</v>
      </c>
      <c r="Q8" s="3721"/>
      <c r="R8" s="701" t="s">
        <v>14</v>
      </c>
      <c r="S8" s="702">
        <f t="shared" si="0"/>
        <v>100</v>
      </c>
      <c r="T8" s="701" t="s">
        <v>14</v>
      </c>
      <c r="U8" s="702">
        <f t="shared" si="1"/>
        <v>100</v>
      </c>
      <c r="V8" s="701" t="s">
        <v>14</v>
      </c>
      <c r="W8" s="702">
        <f t="shared" si="2"/>
        <v>100</v>
      </c>
      <c r="X8" s="703"/>
      <c r="Y8" s="3720" t="s">
        <v>1682</v>
      </c>
      <c r="Z8" s="3721"/>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4"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4"/>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4"/>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4"/>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4"/>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4"/>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1" t="s">
        <v>1690</v>
      </c>
      <c r="Q15" s="1351" t="str">
        <f t="shared" si="6"/>
        <v>办公集聚程度</v>
      </c>
      <c r="R15" s="705" t="s">
        <v>14</v>
      </c>
      <c r="S15" s="706">
        <f t="shared" si="0"/>
        <v>100</v>
      </c>
      <c r="T15" s="705" t="s">
        <v>14</v>
      </c>
      <c r="U15" s="706">
        <f t="shared" si="1"/>
        <v>100</v>
      </c>
      <c r="V15" s="705" t="s">
        <v>14</v>
      </c>
      <c r="W15" s="706">
        <f t="shared" si="2"/>
        <v>100</v>
      </c>
      <c r="X15" s="1354"/>
      <c r="Y15" s="3754"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2"/>
      <c r="Q16" s="1351"/>
      <c r="R16" s="705"/>
      <c r="S16" s="706"/>
      <c r="T16" s="705"/>
      <c r="U16" s="706"/>
      <c r="V16" s="705"/>
      <c r="W16" s="706"/>
      <c r="X16" s="1354"/>
      <c r="Y16" s="3755"/>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2"/>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2"/>
      <c r="Q18" s="1351"/>
      <c r="R18" s="705"/>
      <c r="S18" s="706"/>
      <c r="T18" s="705"/>
      <c r="U18" s="706"/>
      <c r="V18" s="705"/>
      <c r="W18" s="706"/>
      <c r="X18" s="1354"/>
      <c r="Y18" s="3755"/>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2"/>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2"/>
      <c r="Q20" s="1351"/>
      <c r="R20" s="705"/>
      <c r="S20" s="706"/>
      <c r="T20" s="705"/>
      <c r="U20" s="706"/>
      <c r="V20" s="705"/>
      <c r="W20" s="706"/>
      <c r="X20" s="1354"/>
      <c r="Y20" s="3755"/>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2"/>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2"/>
      <c r="Q22" s="1351"/>
      <c r="R22" s="705"/>
      <c r="S22" s="706"/>
      <c r="T22" s="705"/>
      <c r="U22" s="706"/>
      <c r="V22" s="705"/>
      <c r="W22" s="706"/>
      <c r="X22" s="1354"/>
      <c r="Y22" s="3755"/>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2"/>
      <c r="Q23" s="1351" t="str">
        <f>B23</f>
        <v>环境质量</v>
      </c>
      <c r="R23" s="705" t="s">
        <v>14</v>
      </c>
      <c r="S23" s="706">
        <f>F23</f>
        <v>100</v>
      </c>
      <c r="T23" s="705" t="s">
        <v>14</v>
      </c>
      <c r="U23" s="706">
        <f>H23</f>
        <v>100</v>
      </c>
      <c r="V23" s="705" t="s">
        <v>14</v>
      </c>
      <c r="W23" s="706">
        <f>J23</f>
        <v>100</v>
      </c>
      <c r="X23" s="1354"/>
      <c r="Y23" s="375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2"/>
      <c r="Q24" s="1351"/>
      <c r="R24" s="705"/>
      <c r="S24" s="706"/>
      <c r="T24" s="705"/>
      <c r="U24" s="706"/>
      <c r="V24" s="705"/>
      <c r="W24" s="706"/>
      <c r="X24" s="1354"/>
      <c r="Y24" s="3755"/>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2"/>
      <c r="Q25" s="1351" t="str">
        <f>B25</f>
        <v>毗邻道路的类型与等级</v>
      </c>
      <c r="R25" s="705" t="s">
        <v>14</v>
      </c>
      <c r="S25" s="706">
        <f>F25</f>
        <v>100</v>
      </c>
      <c r="T25" s="705" t="s">
        <v>14</v>
      </c>
      <c r="U25" s="706">
        <f>H25</f>
        <v>100</v>
      </c>
      <c r="V25" s="705" t="s">
        <v>14</v>
      </c>
      <c r="W25" s="706">
        <f>J25</f>
        <v>100</v>
      </c>
      <c r="X25" s="1354"/>
      <c r="Y25" s="375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2"/>
      <c r="Q26" s="1351"/>
      <c r="R26" s="705"/>
      <c r="S26" s="706"/>
      <c r="T26" s="705"/>
      <c r="U26" s="706"/>
      <c r="V26" s="705"/>
      <c r="W26" s="706"/>
      <c r="X26" s="1354"/>
      <c r="Y26" s="3755"/>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2"/>
      <c r="Q27" s="1351" t="str">
        <f t="shared" ref="Q27:Q47" si="11">B27</f>
        <v>楼层</v>
      </c>
      <c r="R27" s="705" t="s">
        <v>14</v>
      </c>
      <c r="S27" s="706">
        <f>F27</f>
        <v>100</v>
      </c>
      <c r="T27" s="705" t="s">
        <v>14</v>
      </c>
      <c r="U27" s="706">
        <f>H27</f>
        <v>100</v>
      </c>
      <c r="V27" s="705" t="s">
        <v>14</v>
      </c>
      <c r="W27" s="706">
        <f>J27</f>
        <v>100</v>
      </c>
      <c r="X27" s="1354"/>
      <c r="Y27" s="3755"/>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2"/>
      <c r="Q28" s="1342" t="str">
        <f t="shared" si="11"/>
        <v>朝向</v>
      </c>
      <c r="R28" s="701" t="s">
        <v>14</v>
      </c>
      <c r="S28" s="702">
        <f>F28</f>
        <v>100</v>
      </c>
      <c r="T28" s="701" t="s">
        <v>14</v>
      </c>
      <c r="U28" s="702">
        <f>H28</f>
        <v>100</v>
      </c>
      <c r="V28" s="701" t="s">
        <v>14</v>
      </c>
      <c r="W28" s="702">
        <f>J28</f>
        <v>100</v>
      </c>
      <c r="X28" s="703"/>
      <c r="Y28" s="375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2"/>
      <c r="Q29" s="1351">
        <f t="shared" si="11"/>
        <v>111</v>
      </c>
      <c r="R29" s="705" t="s">
        <v>14</v>
      </c>
      <c r="S29" s="706">
        <f t="shared" ref="S29:S47" si="12">F29</f>
        <v>100</v>
      </c>
      <c r="T29" s="705" t="s">
        <v>14</v>
      </c>
      <c r="U29" s="706">
        <f t="shared" ref="U29:U47" si="13">H29</f>
        <v>100</v>
      </c>
      <c r="V29" s="705" t="s">
        <v>14</v>
      </c>
      <c r="W29" s="706">
        <f t="shared" ref="W29:W47" si="14">J29</f>
        <v>100</v>
      </c>
      <c r="X29" s="1354"/>
      <c r="Y29" s="375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2"/>
      <c r="Q30" s="1351">
        <f t="shared" si="11"/>
        <v>111</v>
      </c>
      <c r="R30" s="705" t="s">
        <v>14</v>
      </c>
      <c r="S30" s="706">
        <f t="shared" si="12"/>
        <v>100</v>
      </c>
      <c r="T30" s="705" t="s">
        <v>14</v>
      </c>
      <c r="U30" s="706">
        <f t="shared" si="13"/>
        <v>100</v>
      </c>
      <c r="V30" s="705" t="s">
        <v>14</v>
      </c>
      <c r="W30" s="706">
        <f t="shared" si="14"/>
        <v>100</v>
      </c>
      <c r="X30" s="1354"/>
      <c r="Y30" s="375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2"/>
      <c r="Q31" s="1351">
        <f t="shared" si="11"/>
        <v>111</v>
      </c>
      <c r="R31" s="705" t="s">
        <v>14</v>
      </c>
      <c r="S31" s="706">
        <f t="shared" si="12"/>
        <v>100</v>
      </c>
      <c r="T31" s="705" t="s">
        <v>14</v>
      </c>
      <c r="U31" s="706">
        <f t="shared" si="13"/>
        <v>100</v>
      </c>
      <c r="V31" s="705" t="s">
        <v>14</v>
      </c>
      <c r="W31" s="706">
        <f t="shared" si="14"/>
        <v>100</v>
      </c>
      <c r="X31" s="1354"/>
      <c r="Y31" s="375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2"/>
      <c r="Q32" s="1351">
        <f t="shared" si="11"/>
        <v>111</v>
      </c>
      <c r="R32" s="705" t="s">
        <v>14</v>
      </c>
      <c r="S32" s="706">
        <f t="shared" si="12"/>
        <v>100</v>
      </c>
      <c r="T32" s="705" t="s">
        <v>14</v>
      </c>
      <c r="U32" s="706">
        <f t="shared" si="13"/>
        <v>100</v>
      </c>
      <c r="V32" s="705" t="s">
        <v>14</v>
      </c>
      <c r="W32" s="706">
        <f t="shared" si="14"/>
        <v>100</v>
      </c>
      <c r="X32" s="1354"/>
      <c r="Y32" s="3755"/>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6" t="s">
        <v>1695</v>
      </c>
      <c r="Q33" s="1351" t="str">
        <f t="shared" si="11"/>
        <v>建筑类型</v>
      </c>
      <c r="R33" s="705" t="s">
        <v>14</v>
      </c>
      <c r="S33" s="706">
        <f t="shared" si="12"/>
        <v>100</v>
      </c>
      <c r="T33" s="705" t="s">
        <v>14</v>
      </c>
      <c r="U33" s="706">
        <f t="shared" si="13"/>
        <v>100</v>
      </c>
      <c r="V33" s="705" t="s">
        <v>14</v>
      </c>
      <c r="W33" s="706">
        <f t="shared" si="14"/>
        <v>100</v>
      </c>
      <c r="X33" s="1354"/>
      <c r="Y33" s="3759"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7"/>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7"/>
      <c r="Q35" s="1351" t="str">
        <f t="shared" si="11"/>
        <v>建筑结构</v>
      </c>
      <c r="R35" s="705" t="s">
        <v>14</v>
      </c>
      <c r="S35" s="706">
        <f t="shared" si="12"/>
        <v>100</v>
      </c>
      <c r="T35" s="705" t="s">
        <v>14</v>
      </c>
      <c r="U35" s="706">
        <f t="shared" si="13"/>
        <v>100</v>
      </c>
      <c r="V35" s="705" t="s">
        <v>14</v>
      </c>
      <c r="W35" s="706">
        <f t="shared" si="14"/>
        <v>100</v>
      </c>
      <c r="X35" s="1354"/>
      <c r="Y35" s="3759"/>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7"/>
      <c r="Q36" s="1351" t="str">
        <f t="shared" si="11"/>
        <v>公共部分装修</v>
      </c>
      <c r="R36" s="705" t="s">
        <v>14</v>
      </c>
      <c r="S36" s="706">
        <f t="shared" si="12"/>
        <v>100</v>
      </c>
      <c r="T36" s="705" t="s">
        <v>14</v>
      </c>
      <c r="U36" s="706">
        <f t="shared" si="13"/>
        <v>100</v>
      </c>
      <c r="V36" s="705" t="s">
        <v>14</v>
      </c>
      <c r="W36" s="706">
        <f t="shared" si="14"/>
        <v>100</v>
      </c>
      <c r="X36" s="1354"/>
      <c r="Y36" s="3759"/>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7"/>
      <c r="Q37" s="1351" t="str">
        <f t="shared" si="11"/>
        <v>成新度</v>
      </c>
      <c r="R37" s="705" t="s">
        <v>14</v>
      </c>
      <c r="S37" s="706" t="e">
        <f t="shared" si="12"/>
        <v>#N/A</v>
      </c>
      <c r="T37" s="705" t="s">
        <v>14</v>
      </c>
      <c r="U37" s="706" t="e">
        <f t="shared" si="13"/>
        <v>#N/A</v>
      </c>
      <c r="V37" s="705" t="s">
        <v>14</v>
      </c>
      <c r="W37" s="706" t="e">
        <f t="shared" si="14"/>
        <v>#N/A</v>
      </c>
      <c r="X37" s="1354"/>
      <c r="Y37" s="3759"/>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7"/>
      <c r="Q38" s="1342"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7" t="s">
        <v>1695</v>
      </c>
      <c r="Q39" s="1351" t="str">
        <f t="shared" si="11"/>
        <v>物业管理</v>
      </c>
      <c r="R39" s="705" t="s">
        <v>14</v>
      </c>
      <c r="S39" s="706">
        <f t="shared" si="12"/>
        <v>100</v>
      </c>
      <c r="T39" s="705" t="s">
        <v>14</v>
      </c>
      <c r="U39" s="706">
        <f t="shared" si="13"/>
        <v>100</v>
      </c>
      <c r="V39" s="705" t="s">
        <v>14</v>
      </c>
      <c r="W39" s="706">
        <f t="shared" si="14"/>
        <v>100</v>
      </c>
      <c r="X39" s="1354"/>
      <c r="Y39" s="3759"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7"/>
      <c r="Q40" s="1351" t="str">
        <f t="shared" si="11"/>
        <v>市政基础设施</v>
      </c>
      <c r="R40" s="705" t="s">
        <v>14</v>
      </c>
      <c r="S40" s="706">
        <f t="shared" si="12"/>
        <v>100</v>
      </c>
      <c r="T40" s="705" t="s">
        <v>14</v>
      </c>
      <c r="U40" s="706">
        <f t="shared" si="13"/>
        <v>100</v>
      </c>
      <c r="V40" s="705" t="s">
        <v>14</v>
      </c>
      <c r="W40" s="706">
        <f t="shared" si="14"/>
        <v>100</v>
      </c>
      <c r="X40" s="1354"/>
      <c r="Y40" s="3759"/>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7"/>
      <c r="Q41" s="1351" t="str">
        <f t="shared" si="11"/>
        <v>层高</v>
      </c>
      <c r="R41" s="705" t="s">
        <v>14</v>
      </c>
      <c r="S41" s="706">
        <f t="shared" si="12"/>
        <v>100</v>
      </c>
      <c r="T41" s="705" t="s">
        <v>14</v>
      </c>
      <c r="U41" s="706">
        <f t="shared" si="13"/>
        <v>100</v>
      </c>
      <c r="V41" s="705" t="s">
        <v>14</v>
      </c>
      <c r="W41" s="706">
        <f t="shared" si="14"/>
        <v>100</v>
      </c>
      <c r="X41" s="1354"/>
      <c r="Y41" s="3759"/>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7"/>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7"/>
      <c r="Q43" s="1351" t="str">
        <f t="shared" si="11"/>
        <v>内部装修</v>
      </c>
      <c r="R43" s="705" t="s">
        <v>14</v>
      </c>
      <c r="S43" s="706">
        <f t="shared" si="12"/>
        <v>100</v>
      </c>
      <c r="T43" s="705" t="s">
        <v>14</v>
      </c>
      <c r="U43" s="706">
        <f t="shared" si="13"/>
        <v>100</v>
      </c>
      <c r="V43" s="705" t="s">
        <v>14</v>
      </c>
      <c r="W43" s="706">
        <f t="shared" si="14"/>
        <v>100</v>
      </c>
      <c r="X43" s="1354"/>
      <c r="Y43" s="3759"/>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7"/>
      <c r="Q44" s="1351" t="str">
        <f t="shared" si="11"/>
        <v>内部装修维护情况</v>
      </c>
      <c r="R44" s="705" t="s">
        <v>14</v>
      </c>
      <c r="S44" s="706">
        <f t="shared" si="12"/>
        <v>100</v>
      </c>
      <c r="T44" s="705" t="s">
        <v>14</v>
      </c>
      <c r="U44" s="706">
        <f t="shared" si="13"/>
        <v>100</v>
      </c>
      <c r="V44" s="705" t="s">
        <v>14</v>
      </c>
      <c r="W44" s="706">
        <f t="shared" si="14"/>
        <v>100</v>
      </c>
      <c r="X44" s="1354"/>
      <c r="Y44" s="375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7"/>
      <c r="Q45" s="1342">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7"/>
      <c r="Q46" s="1351">
        <f t="shared" si="11"/>
        <v>111</v>
      </c>
      <c r="R46" s="705" t="s">
        <v>14</v>
      </c>
      <c r="S46" s="706">
        <f t="shared" si="12"/>
        <v>100</v>
      </c>
      <c r="T46" s="705" t="s">
        <v>14</v>
      </c>
      <c r="U46" s="706">
        <f t="shared" si="13"/>
        <v>100</v>
      </c>
      <c r="V46" s="705" t="s">
        <v>14</v>
      </c>
      <c r="W46" s="706">
        <f t="shared" si="14"/>
        <v>100</v>
      </c>
      <c r="X46" s="1354"/>
      <c r="Y46" s="375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8"/>
      <c r="Q47" s="1351">
        <f t="shared" si="11"/>
        <v>111</v>
      </c>
      <c r="R47" s="705" t="s">
        <v>14</v>
      </c>
      <c r="S47" s="706">
        <f t="shared" si="12"/>
        <v>100</v>
      </c>
      <c r="T47" s="705" t="s">
        <v>14</v>
      </c>
      <c r="U47" s="706">
        <f t="shared" si="13"/>
        <v>100</v>
      </c>
      <c r="V47" s="705" t="s">
        <v>14</v>
      </c>
      <c r="W47" s="706">
        <f t="shared" si="14"/>
        <v>100</v>
      </c>
      <c r="X47" s="1354"/>
      <c r="Y47" s="3760"/>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734" t="str">
        <f>A48</f>
        <v>成交单价（元/平方米）</v>
      </c>
      <c r="Q48" s="3752"/>
      <c r="R48" s="3753">
        <f>E48</f>
        <v>0</v>
      </c>
      <c r="S48" s="3753"/>
      <c r="T48" s="3753">
        <f>G48</f>
        <v>0</v>
      </c>
      <c r="U48" s="3753"/>
      <c r="V48" s="3753">
        <f>I48</f>
        <v>0</v>
      </c>
      <c r="W48" s="3753"/>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34"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199991.93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913"/>
      <c r="M4" s="914"/>
      <c r="N4" s="914"/>
      <c r="O4" s="914"/>
      <c r="P4" s="3739" t="s">
        <v>1774</v>
      </c>
      <c r="Q4" s="3740"/>
      <c r="R4" s="3722" t="s">
        <v>1770</v>
      </c>
      <c r="S4" s="3723"/>
      <c r="T4" s="3722" t="s">
        <v>1771</v>
      </c>
      <c r="U4" s="3723"/>
      <c r="V4" s="3747" t="s">
        <v>1772</v>
      </c>
      <c r="W4" s="3747"/>
      <c r="X4" s="1354"/>
      <c r="Y4" s="3722" t="s">
        <v>1774</v>
      </c>
      <c r="Z4" s="3723"/>
      <c r="AA4" s="3717" t="s">
        <v>1770</v>
      </c>
      <c r="AB4" s="3718" t="s">
        <v>1771</v>
      </c>
      <c r="AC4" s="3717" t="s">
        <v>1772</v>
      </c>
    </row>
    <row r="5" spans="1:29" ht="15">
      <c r="A5" s="358"/>
      <c r="B5" s="359"/>
      <c r="C5" s="3728" t="s">
        <v>1672</v>
      </c>
      <c r="D5" s="3729"/>
      <c r="E5" s="3726" t="s">
        <v>1673</v>
      </c>
      <c r="F5" s="3727"/>
      <c r="G5" s="3728" t="s">
        <v>1674</v>
      </c>
      <c r="H5" s="3729"/>
      <c r="I5" s="3728" t="s">
        <v>1675</v>
      </c>
      <c r="J5" s="3729"/>
      <c r="K5" s="559"/>
      <c r="L5" s="913"/>
      <c r="M5" s="914"/>
      <c r="N5" s="914"/>
      <c r="O5" s="914"/>
      <c r="P5" s="3741"/>
      <c r="Q5" s="3742"/>
      <c r="R5" s="3724"/>
      <c r="S5" s="3725"/>
      <c r="T5" s="3724"/>
      <c r="U5" s="3725"/>
      <c r="V5" s="3747"/>
      <c r="W5" s="3747"/>
      <c r="X5" s="1354"/>
      <c r="Y5" s="3724"/>
      <c r="Z5" s="3725"/>
      <c r="AA5" s="3718"/>
      <c r="AB5" s="3718"/>
      <c r="AC5" s="3718"/>
    </row>
    <row r="6" spans="1:29" ht="15.75" thickBot="1">
      <c r="A6" s="360"/>
      <c r="B6" s="361"/>
      <c r="C6" s="3730" t="s">
        <v>1676</v>
      </c>
      <c r="D6" s="3731"/>
      <c r="E6" s="3732" t="s">
        <v>1676</v>
      </c>
      <c r="F6" s="3733"/>
      <c r="G6" s="3730" t="s">
        <v>1676</v>
      </c>
      <c r="H6" s="3731"/>
      <c r="I6" s="3730" t="s">
        <v>1676</v>
      </c>
      <c r="J6" s="3731"/>
      <c r="K6" s="559" t="s">
        <v>1677</v>
      </c>
      <c r="L6" s="913"/>
      <c r="M6" s="914"/>
      <c r="N6" s="914"/>
      <c r="O6" s="914"/>
      <c r="P6" s="3743"/>
      <c r="Q6" s="3744"/>
      <c r="R6" s="3724"/>
      <c r="S6" s="3725"/>
      <c r="T6" s="3745"/>
      <c r="U6" s="3746"/>
      <c r="V6" s="3747"/>
      <c r="W6" s="3747"/>
      <c r="X6" s="1354"/>
      <c r="Y6" s="3745"/>
      <c r="Z6" s="3746"/>
      <c r="AA6" s="3719"/>
      <c r="AB6" s="3719"/>
      <c r="AC6" s="3719"/>
    </row>
    <row r="7" spans="1:29" s="108" customFormat="1" ht="15.75" thickBot="1">
      <c r="A7" s="362" t="s">
        <v>1678</v>
      </c>
      <c r="B7" s="363"/>
      <c r="C7" s="364">
        <f>'数据-取费表'!B2</f>
        <v>45182</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1679</v>
      </c>
      <c r="Q7" s="3748"/>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1682</v>
      </c>
      <c r="Q8" s="3721"/>
      <c r="R8" s="701" t="s">
        <v>14</v>
      </c>
      <c r="S8" s="702">
        <f t="shared" si="0"/>
        <v>100</v>
      </c>
      <c r="T8" s="701" t="s">
        <v>14</v>
      </c>
      <c r="U8" s="702">
        <f t="shared" si="1"/>
        <v>100</v>
      </c>
      <c r="V8" s="701" t="s">
        <v>14</v>
      </c>
      <c r="W8" s="702">
        <f t="shared" si="2"/>
        <v>100</v>
      </c>
      <c r="X8" s="703"/>
      <c r="Y8" s="3720" t="s">
        <v>1682</v>
      </c>
      <c r="Z8" s="372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2"/>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52"/>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52"/>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52"/>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4" t="s">
        <v>1690</v>
      </c>
      <c r="Q15" s="1351" t="str">
        <f t="shared" si="6"/>
        <v>产业集聚程度</v>
      </c>
      <c r="R15" s="705" t="s">
        <v>14</v>
      </c>
      <c r="S15" s="706">
        <f t="shared" si="0"/>
        <v>100</v>
      </c>
      <c r="T15" s="705" t="s">
        <v>14</v>
      </c>
      <c r="U15" s="706">
        <f t="shared" si="1"/>
        <v>100</v>
      </c>
      <c r="V15" s="705" t="s">
        <v>14</v>
      </c>
      <c r="W15" s="706">
        <f t="shared" si="2"/>
        <v>100</v>
      </c>
      <c r="X15" s="1354"/>
      <c r="Y15" s="3754"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5"/>
      <c r="Q16" s="1351"/>
      <c r="R16" s="705"/>
      <c r="S16" s="706"/>
      <c r="T16" s="705"/>
      <c r="U16" s="706"/>
      <c r="V16" s="705"/>
      <c r="W16" s="706"/>
      <c r="X16" s="1354"/>
      <c r="Y16" s="3755"/>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5"/>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5"/>
      <c r="Q18" s="1351"/>
      <c r="R18" s="705"/>
      <c r="S18" s="706"/>
      <c r="T18" s="705"/>
      <c r="U18" s="706"/>
      <c r="V18" s="705"/>
      <c r="W18" s="706"/>
      <c r="X18" s="1354"/>
      <c r="Y18" s="3755"/>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5"/>
      <c r="Q19" s="1351" t="str">
        <f>B19</f>
        <v>公共配套设施</v>
      </c>
      <c r="R19" s="705" t="s">
        <v>14</v>
      </c>
      <c r="S19" s="706">
        <f>F19</f>
        <v>100</v>
      </c>
      <c r="T19" s="705" t="s">
        <v>14</v>
      </c>
      <c r="U19" s="706">
        <f>H19</f>
        <v>100</v>
      </c>
      <c r="V19" s="705" t="s">
        <v>14</v>
      </c>
      <c r="W19" s="706">
        <f>J19</f>
        <v>100</v>
      </c>
      <c r="X19" s="1354"/>
      <c r="Y19" s="375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5"/>
      <c r="Q20" s="1351"/>
      <c r="R20" s="705"/>
      <c r="S20" s="706"/>
      <c r="T20" s="705"/>
      <c r="U20" s="706"/>
      <c r="V20" s="705"/>
      <c r="W20" s="706"/>
      <c r="X20" s="1354"/>
      <c r="Y20" s="3755"/>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5"/>
      <c r="Q21" s="1351" t="str">
        <f>B21</f>
        <v>基础设施水平</v>
      </c>
      <c r="R21" s="705" t="s">
        <v>14</v>
      </c>
      <c r="S21" s="706">
        <f>F21</f>
        <v>100</v>
      </c>
      <c r="T21" s="705" t="s">
        <v>14</v>
      </c>
      <c r="U21" s="706">
        <f>H21</f>
        <v>100</v>
      </c>
      <c r="V21" s="705" t="s">
        <v>14</v>
      </c>
      <c r="W21" s="706">
        <f>J21</f>
        <v>100</v>
      </c>
      <c r="X21" s="1354"/>
      <c r="Y21" s="375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5"/>
      <c r="Q22" s="1351"/>
      <c r="R22" s="705"/>
      <c r="S22" s="706"/>
      <c r="T22" s="705"/>
      <c r="U22" s="706"/>
      <c r="V22" s="705"/>
      <c r="W22" s="706"/>
      <c r="X22" s="1354"/>
      <c r="Y22" s="3755"/>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5"/>
      <c r="Q23" s="1351" t="str">
        <f>B23</f>
        <v>环境质量</v>
      </c>
      <c r="R23" s="705" t="s">
        <v>14</v>
      </c>
      <c r="S23" s="706">
        <f>F23</f>
        <v>100</v>
      </c>
      <c r="T23" s="705" t="s">
        <v>14</v>
      </c>
      <c r="U23" s="706">
        <f>H23</f>
        <v>100</v>
      </c>
      <c r="V23" s="705" t="s">
        <v>14</v>
      </c>
      <c r="W23" s="706">
        <f>J23</f>
        <v>100</v>
      </c>
      <c r="X23" s="1354"/>
      <c r="Y23" s="375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5"/>
      <c r="Q24" s="1351"/>
      <c r="R24" s="705"/>
      <c r="S24" s="706"/>
      <c r="T24" s="705"/>
      <c r="U24" s="706"/>
      <c r="V24" s="705"/>
      <c r="W24" s="706"/>
      <c r="X24" s="1354"/>
      <c r="Y24" s="375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5"/>
      <c r="Q25" s="1351">
        <f>B25</f>
        <v>111</v>
      </c>
      <c r="R25" s="705" t="s">
        <v>14</v>
      </c>
      <c r="S25" s="706">
        <f>F25</f>
        <v>100</v>
      </c>
      <c r="T25" s="705" t="s">
        <v>14</v>
      </c>
      <c r="U25" s="706">
        <f>H25</f>
        <v>100</v>
      </c>
      <c r="V25" s="705" t="s">
        <v>14</v>
      </c>
      <c r="W25" s="706">
        <f>J25</f>
        <v>100</v>
      </c>
      <c r="X25" s="1354"/>
      <c r="Y25" s="375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5"/>
      <c r="Q26" s="1351">
        <f t="shared" ref="Q26:Q40" si="11">B26</f>
        <v>111</v>
      </c>
      <c r="R26" s="705" t="s">
        <v>14</v>
      </c>
      <c r="S26" s="706">
        <f>F26</f>
        <v>100</v>
      </c>
      <c r="T26" s="705" t="s">
        <v>14</v>
      </c>
      <c r="U26" s="706">
        <f>H26</f>
        <v>100</v>
      </c>
      <c r="V26" s="705" t="s">
        <v>14</v>
      </c>
      <c r="W26" s="706">
        <f>J26</f>
        <v>100</v>
      </c>
      <c r="X26" s="1354"/>
      <c r="Y26" s="375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5"/>
      <c r="Q27" s="1342">
        <f t="shared" si="11"/>
        <v>111</v>
      </c>
      <c r="R27" s="701" t="s">
        <v>14</v>
      </c>
      <c r="S27" s="702">
        <f>F27</f>
        <v>100</v>
      </c>
      <c r="T27" s="701" t="s">
        <v>14</v>
      </c>
      <c r="U27" s="702">
        <f>H27</f>
        <v>100</v>
      </c>
      <c r="V27" s="701" t="s">
        <v>14</v>
      </c>
      <c r="W27" s="702">
        <f>J27</f>
        <v>100</v>
      </c>
      <c r="X27" s="703"/>
      <c r="Y27" s="375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5"/>
      <c r="Q28" s="1351">
        <f t="shared" si="11"/>
        <v>111</v>
      </c>
      <c r="R28" s="705" t="s">
        <v>14</v>
      </c>
      <c r="S28" s="706">
        <f t="shared" ref="S28:S40" si="12">F28</f>
        <v>100</v>
      </c>
      <c r="T28" s="705" t="s">
        <v>14</v>
      </c>
      <c r="U28" s="706">
        <f t="shared" ref="U28:U40" si="13">H28</f>
        <v>100</v>
      </c>
      <c r="V28" s="705" t="s">
        <v>14</v>
      </c>
      <c r="W28" s="706">
        <f t="shared" ref="W28:W40" si="14">J28</f>
        <v>100</v>
      </c>
      <c r="X28" s="1354"/>
      <c r="Y28" s="3755"/>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8" t="s">
        <v>1695</v>
      </c>
      <c r="Q29" s="1351" t="str">
        <f t="shared" si="11"/>
        <v>建筑类型</v>
      </c>
      <c r="R29" s="705" t="s">
        <v>14</v>
      </c>
      <c r="S29" s="706">
        <f t="shared" si="12"/>
        <v>100</v>
      </c>
      <c r="T29" s="705" t="s">
        <v>14</v>
      </c>
      <c r="U29" s="706">
        <f t="shared" si="13"/>
        <v>100</v>
      </c>
      <c r="V29" s="705" t="s">
        <v>14</v>
      </c>
      <c r="W29" s="706">
        <f t="shared" si="14"/>
        <v>100</v>
      </c>
      <c r="X29" s="1354"/>
      <c r="Y29" s="3759"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9"/>
      <c r="Q30" s="707" t="str">
        <f t="shared" si="11"/>
        <v>项目建筑规模</v>
      </c>
      <c r="R30" s="708" t="s">
        <v>14</v>
      </c>
      <c r="S30" s="709" t="e">
        <f t="shared" si="12"/>
        <v>#N/A</v>
      </c>
      <c r="T30" s="708" t="s">
        <v>14</v>
      </c>
      <c r="U30" s="709" t="e">
        <f t="shared" si="13"/>
        <v>#N/A</v>
      </c>
      <c r="V30" s="708" t="s">
        <v>14</v>
      </c>
      <c r="W30" s="709" t="e">
        <f t="shared" si="14"/>
        <v>#N/A</v>
      </c>
      <c r="X30" s="710"/>
      <c r="Y30" s="3759"/>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9"/>
      <c r="Q31" s="1351" t="str">
        <f t="shared" si="11"/>
        <v>建筑结构</v>
      </c>
      <c r="R31" s="705" t="s">
        <v>14</v>
      </c>
      <c r="S31" s="706">
        <f t="shared" si="12"/>
        <v>100</v>
      </c>
      <c r="T31" s="705" t="s">
        <v>14</v>
      </c>
      <c r="U31" s="706">
        <f t="shared" si="13"/>
        <v>100</v>
      </c>
      <c r="V31" s="705" t="s">
        <v>14</v>
      </c>
      <c r="W31" s="706">
        <f t="shared" si="14"/>
        <v>100</v>
      </c>
      <c r="X31" s="1354"/>
      <c r="Y31" s="3759"/>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9"/>
      <c r="Q32" s="1351" t="str">
        <f t="shared" si="11"/>
        <v>公共部分装修</v>
      </c>
      <c r="R32" s="705" t="s">
        <v>14</v>
      </c>
      <c r="S32" s="706">
        <f t="shared" si="12"/>
        <v>100</v>
      </c>
      <c r="T32" s="705" t="s">
        <v>14</v>
      </c>
      <c r="U32" s="706">
        <f t="shared" si="13"/>
        <v>100</v>
      </c>
      <c r="V32" s="705" t="s">
        <v>14</v>
      </c>
      <c r="W32" s="706">
        <f t="shared" si="14"/>
        <v>100</v>
      </c>
      <c r="X32" s="1354"/>
      <c r="Y32" s="3759"/>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9"/>
      <c r="Q33" s="1351" t="str">
        <f t="shared" si="11"/>
        <v>成新度</v>
      </c>
      <c r="R33" s="705" t="s">
        <v>14</v>
      </c>
      <c r="S33" s="706" t="e">
        <f t="shared" si="12"/>
        <v>#N/A</v>
      </c>
      <c r="T33" s="705" t="s">
        <v>14</v>
      </c>
      <c r="U33" s="706" t="e">
        <f t="shared" si="13"/>
        <v>#N/A</v>
      </c>
      <c r="V33" s="705" t="s">
        <v>14</v>
      </c>
      <c r="W33" s="706" t="e">
        <f t="shared" si="14"/>
        <v>#N/A</v>
      </c>
      <c r="X33" s="1354"/>
      <c r="Y33" s="3759"/>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9"/>
      <c r="Q34" s="1342"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9" t="s">
        <v>1695</v>
      </c>
      <c r="Q35" s="1351" t="str">
        <f t="shared" si="11"/>
        <v>市政基础设施</v>
      </c>
      <c r="R35" s="705" t="s">
        <v>14</v>
      </c>
      <c r="S35" s="706">
        <f t="shared" si="12"/>
        <v>100</v>
      </c>
      <c r="T35" s="705" t="s">
        <v>14</v>
      </c>
      <c r="U35" s="706">
        <f t="shared" si="13"/>
        <v>100</v>
      </c>
      <c r="V35" s="705" t="s">
        <v>14</v>
      </c>
      <c r="W35" s="706">
        <f t="shared" si="14"/>
        <v>100</v>
      </c>
      <c r="X35" s="1354"/>
      <c r="Y35" s="3759"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9"/>
      <c r="Q36" s="1351" t="str">
        <f t="shared" si="11"/>
        <v>内部装修</v>
      </c>
      <c r="R36" s="705" t="s">
        <v>14</v>
      </c>
      <c r="S36" s="706">
        <f t="shared" si="12"/>
        <v>100</v>
      </c>
      <c r="T36" s="705" t="s">
        <v>14</v>
      </c>
      <c r="U36" s="706">
        <f t="shared" si="13"/>
        <v>100</v>
      </c>
      <c r="V36" s="705" t="s">
        <v>14</v>
      </c>
      <c r="W36" s="706">
        <f t="shared" si="14"/>
        <v>100</v>
      </c>
      <c r="X36" s="1354"/>
      <c r="Y36" s="3759"/>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9"/>
      <c r="Q37" s="1351" t="str">
        <f t="shared" si="11"/>
        <v>内部装修状况</v>
      </c>
      <c r="R37" s="705" t="s">
        <v>14</v>
      </c>
      <c r="S37" s="706">
        <f t="shared" si="12"/>
        <v>100</v>
      </c>
      <c r="T37" s="705" t="s">
        <v>14</v>
      </c>
      <c r="U37" s="706">
        <f t="shared" si="13"/>
        <v>100</v>
      </c>
      <c r="V37" s="705" t="s">
        <v>14</v>
      </c>
      <c r="W37" s="706">
        <f t="shared" si="14"/>
        <v>100</v>
      </c>
      <c r="X37" s="1354"/>
      <c r="Y37" s="375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9"/>
      <c r="Q38" s="707">
        <f t="shared" si="11"/>
        <v>111</v>
      </c>
      <c r="R38" s="708" t="s">
        <v>14</v>
      </c>
      <c r="S38" s="709">
        <f t="shared" si="12"/>
        <v>100</v>
      </c>
      <c r="T38" s="708" t="s">
        <v>14</v>
      </c>
      <c r="U38" s="709">
        <f t="shared" si="13"/>
        <v>100</v>
      </c>
      <c r="V38" s="708" t="s">
        <v>14</v>
      </c>
      <c r="W38" s="709">
        <f t="shared" si="14"/>
        <v>100</v>
      </c>
      <c r="X38" s="710"/>
      <c r="Y38" s="375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9"/>
      <c r="Q39" s="1351">
        <f t="shared" si="11"/>
        <v>111</v>
      </c>
      <c r="R39" s="705" t="s">
        <v>14</v>
      </c>
      <c r="S39" s="706">
        <f t="shared" si="12"/>
        <v>100</v>
      </c>
      <c r="T39" s="705" t="s">
        <v>14</v>
      </c>
      <c r="U39" s="706">
        <f t="shared" si="13"/>
        <v>100</v>
      </c>
      <c r="V39" s="705" t="s">
        <v>14</v>
      </c>
      <c r="W39" s="706">
        <f t="shared" si="14"/>
        <v>100</v>
      </c>
      <c r="X39" s="1354"/>
      <c r="Y39" s="375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1">
        <f t="shared" si="11"/>
        <v>111</v>
      </c>
      <c r="R40" s="705" t="s">
        <v>14</v>
      </c>
      <c r="S40" s="706">
        <f t="shared" si="12"/>
        <v>100</v>
      </c>
      <c r="T40" s="705" t="s">
        <v>14</v>
      </c>
      <c r="U40" s="706">
        <f t="shared" si="13"/>
        <v>100</v>
      </c>
      <c r="V40" s="705" t="s">
        <v>14</v>
      </c>
      <c r="W40" s="706">
        <f t="shared" si="14"/>
        <v>100</v>
      </c>
      <c r="X40" s="1354"/>
      <c r="Y40" s="3760"/>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22" t="s">
        <v>1770</v>
      </c>
      <c r="S4" s="3723"/>
      <c r="T4" s="3722" t="s">
        <v>1771</v>
      </c>
      <c r="U4" s="3723"/>
      <c r="V4" s="3747" t="s">
        <v>1772</v>
      </c>
      <c r="W4" s="3747"/>
      <c r="X4" s="1354"/>
      <c r="Y4" s="3722" t="s">
        <v>1774</v>
      </c>
      <c r="Z4" s="3723"/>
      <c r="AA4" s="3717" t="s">
        <v>1770</v>
      </c>
      <c r="AB4" s="3718" t="s">
        <v>1771</v>
      </c>
      <c r="AC4" s="3717" t="s">
        <v>1772</v>
      </c>
    </row>
    <row r="5" spans="1:29" ht="15">
      <c r="A5" s="358"/>
      <c r="B5" s="359"/>
      <c r="C5" s="3728" t="s">
        <v>1672</v>
      </c>
      <c r="D5" s="3729"/>
      <c r="E5" s="3726" t="s">
        <v>1673</v>
      </c>
      <c r="F5" s="3727"/>
      <c r="G5" s="3728" t="s">
        <v>1674</v>
      </c>
      <c r="H5" s="3729"/>
      <c r="I5" s="3728" t="s">
        <v>1675</v>
      </c>
      <c r="J5" s="3729"/>
      <c r="K5" s="559"/>
      <c r="L5" s="2714"/>
      <c r="M5" s="2715"/>
      <c r="N5" s="2715"/>
      <c r="O5" s="2715"/>
      <c r="P5" s="3741"/>
      <c r="Q5" s="3742"/>
      <c r="R5" s="3724"/>
      <c r="S5" s="3725"/>
      <c r="T5" s="3724"/>
      <c r="U5" s="3725"/>
      <c r="V5" s="3747"/>
      <c r="W5" s="3747"/>
      <c r="X5" s="1354"/>
      <c r="Y5" s="3724"/>
      <c r="Z5" s="3725"/>
      <c r="AA5" s="3718"/>
      <c r="AB5" s="3718"/>
      <c r="AC5" s="3718"/>
    </row>
    <row r="6" spans="1:29" ht="15.75" thickBot="1">
      <c r="A6" s="360"/>
      <c r="B6" s="361"/>
      <c r="C6" s="3730" t="s">
        <v>1676</v>
      </c>
      <c r="D6" s="3731"/>
      <c r="E6" s="3732" t="s">
        <v>1676</v>
      </c>
      <c r="F6" s="3733"/>
      <c r="G6" s="3730" t="s">
        <v>1676</v>
      </c>
      <c r="H6" s="3731"/>
      <c r="I6" s="3730" t="s">
        <v>1676</v>
      </c>
      <c r="J6" s="3731"/>
      <c r="K6" s="559" t="s">
        <v>1677</v>
      </c>
      <c r="L6" s="2714"/>
      <c r="M6" s="2715"/>
      <c r="N6" s="2715"/>
      <c r="O6" s="2715"/>
      <c r="P6" s="3743"/>
      <c r="Q6" s="3744"/>
      <c r="R6" s="3724"/>
      <c r="S6" s="3725"/>
      <c r="T6" s="3745"/>
      <c r="U6" s="3746"/>
      <c r="V6" s="3747"/>
      <c r="W6" s="3747"/>
      <c r="X6" s="1354"/>
      <c r="Y6" s="3745"/>
      <c r="Z6" s="3746"/>
      <c r="AA6" s="3719"/>
      <c r="AB6" s="3719"/>
      <c r="AC6" s="3719"/>
    </row>
    <row r="7" spans="1:29" s="108" customFormat="1" ht="15.75" thickBot="1">
      <c r="A7" s="362" t="s">
        <v>1678</v>
      </c>
      <c r="B7" s="363"/>
      <c r="C7" s="364">
        <f>'数据-取费表'!B2</f>
        <v>45182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1679</v>
      </c>
      <c r="Q7" s="3748"/>
      <c r="R7" s="701" t="s">
        <v>14</v>
      </c>
      <c r="S7" s="702">
        <f t="shared" ref="S7:S14" si="0">F7</f>
        <v>0</v>
      </c>
      <c r="T7" s="701" t="s">
        <v>14</v>
      </c>
      <c r="U7" s="702">
        <f t="shared" ref="U7:U14" si="1">H7</f>
        <v>0</v>
      </c>
      <c r="V7" s="701" t="s">
        <v>14</v>
      </c>
      <c r="W7" s="702">
        <f t="shared" ref="W7:W14"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2"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2"/>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2"/>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2"/>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2"/>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4" t="s">
        <v>1690</v>
      </c>
      <c r="Q14" s="1351" t="str">
        <f t="shared" si="6"/>
        <v>交通便捷度</v>
      </c>
      <c r="R14" s="705" t="s">
        <v>14</v>
      </c>
      <c r="S14" s="706">
        <f t="shared" si="0"/>
        <v>100</v>
      </c>
      <c r="T14" s="705" t="s">
        <v>14</v>
      </c>
      <c r="U14" s="706">
        <f t="shared" si="1"/>
        <v>100</v>
      </c>
      <c r="V14" s="705" t="s">
        <v>14</v>
      </c>
      <c r="W14" s="706">
        <f t="shared" si="2"/>
        <v>100</v>
      </c>
      <c r="X14" s="1354"/>
      <c r="Y14" s="3754"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55"/>
      <c r="Q15" s="1351"/>
      <c r="R15" s="705"/>
      <c r="S15" s="706"/>
      <c r="T15" s="705"/>
      <c r="U15" s="706"/>
      <c r="V15" s="705"/>
      <c r="W15" s="706"/>
      <c r="X15" s="1354"/>
      <c r="Y15" s="3755"/>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5"/>
      <c r="Q16" s="1351" t="str">
        <f>B16</f>
        <v>公共配套设施</v>
      </c>
      <c r="R16" s="705" t="s">
        <v>14</v>
      </c>
      <c r="S16" s="706">
        <f>F16</f>
        <v>100</v>
      </c>
      <c r="T16" s="705" t="s">
        <v>14</v>
      </c>
      <c r="U16" s="706">
        <f>H16</f>
        <v>100</v>
      </c>
      <c r="V16" s="705" t="s">
        <v>14</v>
      </c>
      <c r="W16" s="706">
        <f>J16</f>
        <v>100</v>
      </c>
      <c r="X16" s="1354"/>
      <c r="Y16" s="375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55"/>
      <c r="Q17" s="1351"/>
      <c r="R17" s="705"/>
      <c r="S17" s="706"/>
      <c r="T17" s="705"/>
      <c r="U17" s="706"/>
      <c r="V17" s="705"/>
      <c r="W17" s="706"/>
      <c r="X17" s="1354"/>
      <c r="Y17" s="3755"/>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5"/>
      <c r="Q18" s="1351" t="str">
        <f>B18</f>
        <v>基础设施水平</v>
      </c>
      <c r="R18" s="705" t="s">
        <v>14</v>
      </c>
      <c r="S18" s="706">
        <f>F18</f>
        <v>100</v>
      </c>
      <c r="T18" s="705" t="s">
        <v>14</v>
      </c>
      <c r="U18" s="706">
        <f>H18</f>
        <v>100</v>
      </c>
      <c r="V18" s="705" t="s">
        <v>14</v>
      </c>
      <c r="W18" s="706">
        <f>J18</f>
        <v>100</v>
      </c>
      <c r="X18" s="1354"/>
      <c r="Y18" s="375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55"/>
      <c r="Q19" s="1351"/>
      <c r="R19" s="705"/>
      <c r="S19" s="706"/>
      <c r="T19" s="705"/>
      <c r="U19" s="706"/>
      <c r="V19" s="705"/>
      <c r="W19" s="706"/>
      <c r="X19" s="1354"/>
      <c r="Y19" s="3755"/>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5"/>
      <c r="Q20" s="1351" t="str">
        <f>B20</f>
        <v>自然及人文环境</v>
      </c>
      <c r="R20" s="705" t="s">
        <v>14</v>
      </c>
      <c r="S20" s="706">
        <f>F20</f>
        <v>100</v>
      </c>
      <c r="T20" s="705" t="s">
        <v>14</v>
      </c>
      <c r="U20" s="706">
        <f>H20</f>
        <v>100</v>
      </c>
      <c r="V20" s="705" t="s">
        <v>14</v>
      </c>
      <c r="W20" s="706">
        <f>J20</f>
        <v>100</v>
      </c>
      <c r="X20" s="1354"/>
      <c r="Y20" s="375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55"/>
      <c r="Q21" s="1351"/>
      <c r="R21" s="705"/>
      <c r="S21" s="706"/>
      <c r="T21" s="705"/>
      <c r="U21" s="706"/>
      <c r="V21" s="705"/>
      <c r="W21" s="706"/>
      <c r="X21" s="1354"/>
      <c r="Y21" s="3755"/>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5"/>
      <c r="Q22" s="1351" t="str">
        <f>B22</f>
        <v>楼层</v>
      </c>
      <c r="R22" s="705" t="s">
        <v>14</v>
      </c>
      <c r="S22" s="706">
        <f>F22</f>
        <v>100</v>
      </c>
      <c r="T22" s="705" t="s">
        <v>14</v>
      </c>
      <c r="U22" s="706">
        <f>H22</f>
        <v>100</v>
      </c>
      <c r="V22" s="705" t="s">
        <v>14</v>
      </c>
      <c r="W22" s="706">
        <f>J22</f>
        <v>100</v>
      </c>
      <c r="X22" s="1354"/>
      <c r="Y22" s="375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5"/>
      <c r="Q23" s="1351">
        <f>B23</f>
        <v>111</v>
      </c>
      <c r="R23" s="705" t="s">
        <v>14</v>
      </c>
      <c r="S23" s="706">
        <f>F23</f>
        <v>100</v>
      </c>
      <c r="T23" s="705" t="s">
        <v>14</v>
      </c>
      <c r="U23" s="706">
        <f>H23</f>
        <v>100</v>
      </c>
      <c r="V23" s="705" t="s">
        <v>14</v>
      </c>
      <c r="W23" s="706">
        <f>J23</f>
        <v>100</v>
      </c>
      <c r="X23" s="1354"/>
      <c r="Y23" s="375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5"/>
      <c r="Q24" s="1351">
        <f t="shared" ref="Q24:Q36" si="11">B24</f>
        <v>111</v>
      </c>
      <c r="R24" s="705" t="s">
        <v>14</v>
      </c>
      <c r="S24" s="706">
        <f>F24</f>
        <v>100</v>
      </c>
      <c r="T24" s="705" t="s">
        <v>14</v>
      </c>
      <c r="U24" s="706">
        <f>H24</f>
        <v>100</v>
      </c>
      <c r="V24" s="705" t="s">
        <v>14</v>
      </c>
      <c r="W24" s="706">
        <f>J24</f>
        <v>100</v>
      </c>
      <c r="X24" s="1354"/>
      <c r="Y24" s="375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5"/>
      <c r="Q25" s="1342">
        <f t="shared" si="11"/>
        <v>111</v>
      </c>
      <c r="R25" s="701" t="s">
        <v>14</v>
      </c>
      <c r="S25" s="702">
        <f>F25</f>
        <v>100</v>
      </c>
      <c r="T25" s="701" t="s">
        <v>14</v>
      </c>
      <c r="U25" s="702">
        <f>H25</f>
        <v>100</v>
      </c>
      <c r="V25" s="701" t="s">
        <v>14</v>
      </c>
      <c r="W25" s="702">
        <f>J25</f>
        <v>100</v>
      </c>
      <c r="X25" s="703"/>
      <c r="Y25" s="3755"/>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8"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9"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9"/>
      <c r="Q28" s="1351" t="str">
        <f t="shared" si="11"/>
        <v>公共部分装修</v>
      </c>
      <c r="R28" s="705" t="s">
        <v>14</v>
      </c>
      <c r="S28" s="706">
        <f t="shared" si="12"/>
        <v>100</v>
      </c>
      <c r="T28" s="705" t="s">
        <v>14</v>
      </c>
      <c r="U28" s="706">
        <f t="shared" si="13"/>
        <v>100</v>
      </c>
      <c r="V28" s="705" t="s">
        <v>14</v>
      </c>
      <c r="W28" s="706">
        <f t="shared" si="14"/>
        <v>100</v>
      </c>
      <c r="X28" s="1354"/>
      <c r="Y28" s="3759"/>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9"/>
      <c r="Q29" s="1351" t="str">
        <f t="shared" si="11"/>
        <v>成新率</v>
      </c>
      <c r="R29" s="705" t="s">
        <v>14</v>
      </c>
      <c r="S29" s="706" t="e">
        <f t="shared" si="12"/>
        <v>#N/A</v>
      </c>
      <c r="T29" s="705" t="s">
        <v>14</v>
      </c>
      <c r="U29" s="706" t="e">
        <f t="shared" si="13"/>
        <v>#N/A</v>
      </c>
      <c r="V29" s="705" t="s">
        <v>14</v>
      </c>
      <c r="W29" s="706" t="e">
        <f t="shared" si="14"/>
        <v>#N/A</v>
      </c>
      <c r="X29" s="1354"/>
      <c r="Y29" s="3759"/>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9"/>
      <c r="Q30" s="1351" t="str">
        <f t="shared" si="11"/>
        <v>物业等级</v>
      </c>
      <c r="R30" s="705" t="s">
        <v>14</v>
      </c>
      <c r="S30" s="706">
        <f t="shared" si="12"/>
        <v>100</v>
      </c>
      <c r="T30" s="705" t="s">
        <v>14</v>
      </c>
      <c r="U30" s="706">
        <f t="shared" si="13"/>
        <v>100</v>
      </c>
      <c r="V30" s="705" t="s">
        <v>14</v>
      </c>
      <c r="W30" s="706">
        <f t="shared" si="14"/>
        <v>100</v>
      </c>
      <c r="X30" s="1354"/>
      <c r="Y30" s="3759"/>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9"/>
      <c r="Q31" s="1342"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9" t="s">
        <v>1695</v>
      </c>
      <c r="Q32" s="1351" t="str">
        <f t="shared" si="11"/>
        <v>车位类型</v>
      </c>
      <c r="R32" s="705" t="s">
        <v>14</v>
      </c>
      <c r="S32" s="706">
        <f t="shared" si="12"/>
        <v>100</v>
      </c>
      <c r="T32" s="705" t="s">
        <v>14</v>
      </c>
      <c r="U32" s="706">
        <f t="shared" si="13"/>
        <v>100</v>
      </c>
      <c r="V32" s="705" t="s">
        <v>14</v>
      </c>
      <c r="W32" s="706">
        <f t="shared" si="14"/>
        <v>100</v>
      </c>
      <c r="X32" s="1354"/>
      <c r="Y32" s="3759"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9"/>
      <c r="Q33" s="1351" t="str">
        <f t="shared" si="11"/>
        <v>是否直接入户</v>
      </c>
      <c r="R33" s="705" t="s">
        <v>14</v>
      </c>
      <c r="S33" s="706">
        <f t="shared" si="12"/>
        <v>100</v>
      </c>
      <c r="T33" s="705" t="s">
        <v>14</v>
      </c>
      <c r="U33" s="706">
        <f t="shared" si="13"/>
        <v>100</v>
      </c>
      <c r="V33" s="705" t="s">
        <v>14</v>
      </c>
      <c r="W33" s="706">
        <f t="shared" si="14"/>
        <v>100</v>
      </c>
      <c r="X33" s="1354"/>
      <c r="Y33" s="375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9"/>
      <c r="Q34" s="1351">
        <f t="shared" si="11"/>
        <v>111</v>
      </c>
      <c r="R34" s="705" t="s">
        <v>14</v>
      </c>
      <c r="S34" s="706">
        <f t="shared" si="12"/>
        <v>100</v>
      </c>
      <c r="T34" s="705" t="s">
        <v>14</v>
      </c>
      <c r="U34" s="706">
        <f t="shared" si="13"/>
        <v>100</v>
      </c>
      <c r="V34" s="705" t="s">
        <v>14</v>
      </c>
      <c r="W34" s="706">
        <f t="shared" si="14"/>
        <v>100</v>
      </c>
      <c r="X34" s="1354"/>
      <c r="Y34" s="375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9"/>
      <c r="Q36" s="1351">
        <f t="shared" si="11"/>
        <v>111</v>
      </c>
      <c r="R36" s="705" t="s">
        <v>14</v>
      </c>
      <c r="S36" s="706">
        <f t="shared" si="12"/>
        <v>100</v>
      </c>
      <c r="T36" s="705" t="s">
        <v>14</v>
      </c>
      <c r="U36" s="706">
        <f t="shared" si="13"/>
        <v>100</v>
      </c>
      <c r="V36" s="705" t="s">
        <v>14</v>
      </c>
      <c r="W36" s="706">
        <f t="shared" si="14"/>
        <v>100</v>
      </c>
      <c r="X36" s="1354"/>
      <c r="Y36" s="3759"/>
      <c r="Z36" s="1355">
        <f t="shared" si="15"/>
        <v>111</v>
      </c>
      <c r="AA36" s="1352">
        <f t="shared" si="3"/>
        <v>1</v>
      </c>
      <c r="AB36" s="1352">
        <f t="shared" si="4"/>
        <v>1</v>
      </c>
      <c r="AC36" s="1352">
        <f t="shared" si="5"/>
        <v>1</v>
      </c>
    </row>
    <row r="37" spans="1:29" ht="15">
      <c r="A37" s="430" t="s">
        <v>1843</v>
      </c>
      <c r="B37" s="1972" t="s">
        <v>3359</v>
      </c>
      <c r="C37" s="1154" t="s">
        <v>0</v>
      </c>
      <c r="D37" s="1155"/>
      <c r="E37" s="1156"/>
      <c r="F37" s="1157"/>
      <c r="G37" s="1158"/>
      <c r="H37" s="1159"/>
      <c r="I37" s="1156"/>
      <c r="J37" s="1159"/>
      <c r="K37" s="568"/>
      <c r="L37" s="2723"/>
      <c r="M37" s="2724"/>
      <c r="N37" s="2715"/>
      <c r="O37" s="2724"/>
      <c r="P37" s="3752" t="str">
        <f>A37</f>
        <v>成交单价</v>
      </c>
      <c r="Q37" s="3752"/>
      <c r="R37" s="3753">
        <f>E37</f>
        <v>0</v>
      </c>
      <c r="S37" s="3753"/>
      <c r="T37" s="3753">
        <f>G37</f>
        <v>0</v>
      </c>
      <c r="U37" s="3753"/>
      <c r="V37" s="3753">
        <f>I37</f>
        <v>0</v>
      </c>
      <c r="W37" s="3753"/>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49" t="str">
        <f>A39</f>
        <v>估价对象XX用房的比较价值（楼面单价，元/平方米）</v>
      </c>
      <c r="Q39" s="3750"/>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22" t="s">
        <v>1770</v>
      </c>
      <c r="S4" s="3723"/>
      <c r="T4" s="3722" t="s">
        <v>1771</v>
      </c>
      <c r="U4" s="3723"/>
      <c r="V4" s="3747" t="s">
        <v>1772</v>
      </c>
      <c r="W4" s="3747"/>
      <c r="X4" s="1354"/>
      <c r="Y4" s="3722" t="s">
        <v>1774</v>
      </c>
      <c r="Z4" s="3723"/>
      <c r="AA4" s="3717" t="s">
        <v>1770</v>
      </c>
      <c r="AB4" s="3718" t="s">
        <v>1771</v>
      </c>
      <c r="AC4" s="3717" t="s">
        <v>1772</v>
      </c>
    </row>
    <row r="5" spans="1:29" ht="15">
      <c r="A5" s="358"/>
      <c r="B5" s="359"/>
      <c r="C5" s="3728" t="s">
        <v>1672</v>
      </c>
      <c r="D5" s="3729"/>
      <c r="E5" s="3726" t="s">
        <v>1673</v>
      </c>
      <c r="F5" s="3727"/>
      <c r="G5" s="3728" t="s">
        <v>1674</v>
      </c>
      <c r="H5" s="3729"/>
      <c r="I5" s="3728" t="s">
        <v>1675</v>
      </c>
      <c r="J5" s="3729"/>
      <c r="K5" s="559"/>
      <c r="L5" s="2714"/>
      <c r="M5" s="2715"/>
      <c r="N5" s="2715"/>
      <c r="O5" s="2715"/>
      <c r="P5" s="3741"/>
      <c r="Q5" s="3742"/>
      <c r="R5" s="3724"/>
      <c r="S5" s="3725"/>
      <c r="T5" s="3724"/>
      <c r="U5" s="3725"/>
      <c r="V5" s="3747"/>
      <c r="W5" s="3747"/>
      <c r="X5" s="1354"/>
      <c r="Y5" s="3724"/>
      <c r="Z5" s="3725"/>
      <c r="AA5" s="3718"/>
      <c r="AB5" s="3718"/>
      <c r="AC5" s="3718"/>
    </row>
    <row r="6" spans="1:29" ht="15.75" thickBot="1">
      <c r="A6" s="360"/>
      <c r="B6" s="361"/>
      <c r="C6" s="3730" t="s">
        <v>1676</v>
      </c>
      <c r="D6" s="3731"/>
      <c r="E6" s="3732" t="s">
        <v>1676</v>
      </c>
      <c r="F6" s="3733"/>
      <c r="G6" s="3730" t="s">
        <v>1676</v>
      </c>
      <c r="H6" s="3731"/>
      <c r="I6" s="3730" t="s">
        <v>1676</v>
      </c>
      <c r="J6" s="3731"/>
      <c r="K6" s="559" t="s">
        <v>1677</v>
      </c>
      <c r="L6" s="2714"/>
      <c r="M6" s="2715"/>
      <c r="N6" s="2715"/>
      <c r="O6" s="2715"/>
      <c r="P6" s="3743"/>
      <c r="Q6" s="3744"/>
      <c r="R6" s="3724"/>
      <c r="S6" s="3725"/>
      <c r="T6" s="3745"/>
      <c r="U6" s="3746"/>
      <c r="V6" s="3747"/>
      <c r="W6" s="3747"/>
      <c r="X6" s="1354"/>
      <c r="Y6" s="3745"/>
      <c r="Z6" s="3746"/>
      <c r="AA6" s="3719"/>
      <c r="AB6" s="3719"/>
      <c r="AC6" s="3719"/>
    </row>
    <row r="7" spans="1:29" s="108" customFormat="1" ht="15.75" thickBot="1">
      <c r="A7" s="362" t="s">
        <v>1678</v>
      </c>
      <c r="B7" s="363"/>
      <c r="C7" s="364">
        <f>'数据-取费表'!B2</f>
        <v>45182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0" t="s">
        <v>1679</v>
      </c>
      <c r="Q7" s="3748"/>
      <c r="R7" s="701" t="s">
        <v>14</v>
      </c>
      <c r="S7" s="702">
        <f t="shared" ref="S7:S14" si="0">F7</f>
        <v>0</v>
      </c>
      <c r="T7" s="701" t="s">
        <v>14</v>
      </c>
      <c r="U7" s="702">
        <f t="shared" ref="U7:U14" si="1">H7</f>
        <v>0</v>
      </c>
      <c r="V7" s="701" t="s">
        <v>14</v>
      </c>
      <c r="W7" s="702">
        <f t="shared" ref="W7:W14" si="2">J7</f>
        <v>0</v>
      </c>
      <c r="X7" s="703"/>
      <c r="Y7" s="3720" t="s">
        <v>1679</v>
      </c>
      <c r="Z7" s="372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1682</v>
      </c>
      <c r="Q8" s="3721"/>
      <c r="R8" s="701" t="s">
        <v>14</v>
      </c>
      <c r="S8" s="702">
        <f t="shared" si="0"/>
        <v>100</v>
      </c>
      <c r="T8" s="701" t="s">
        <v>14</v>
      </c>
      <c r="U8" s="702">
        <f t="shared" si="1"/>
        <v>100</v>
      </c>
      <c r="V8" s="701" t="s">
        <v>14</v>
      </c>
      <c r="W8" s="702">
        <f t="shared" si="2"/>
        <v>100</v>
      </c>
      <c r="X8" s="703"/>
      <c r="Y8" s="3720" t="s">
        <v>1682</v>
      </c>
      <c r="Z8" s="372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2"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2"/>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2"/>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2"/>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4" t="s">
        <v>1690</v>
      </c>
      <c r="Q14" s="1351" t="str">
        <f t="shared" si="6"/>
        <v>交通便捷度</v>
      </c>
      <c r="R14" s="705" t="s">
        <v>14</v>
      </c>
      <c r="S14" s="706">
        <f t="shared" si="0"/>
        <v>100</v>
      </c>
      <c r="T14" s="705" t="s">
        <v>14</v>
      </c>
      <c r="U14" s="706">
        <f t="shared" si="1"/>
        <v>100</v>
      </c>
      <c r="V14" s="705" t="s">
        <v>14</v>
      </c>
      <c r="W14" s="706">
        <f t="shared" si="2"/>
        <v>100</v>
      </c>
      <c r="X14" s="1354"/>
      <c r="Y14" s="3754"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55"/>
      <c r="Q15" s="1351"/>
      <c r="R15" s="705"/>
      <c r="S15" s="706"/>
      <c r="T15" s="705"/>
      <c r="U15" s="706"/>
      <c r="V15" s="705"/>
      <c r="W15" s="706"/>
      <c r="X15" s="1354"/>
      <c r="Y15" s="3755"/>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5"/>
      <c r="Q16" s="1351" t="str">
        <f>B16</f>
        <v>公共配套设施</v>
      </c>
      <c r="R16" s="705" t="s">
        <v>14</v>
      </c>
      <c r="S16" s="706">
        <f>F16</f>
        <v>100</v>
      </c>
      <c r="T16" s="705" t="s">
        <v>14</v>
      </c>
      <c r="U16" s="706">
        <f>H16</f>
        <v>100</v>
      </c>
      <c r="V16" s="705" t="s">
        <v>14</v>
      </c>
      <c r="W16" s="706">
        <f>J16</f>
        <v>100</v>
      </c>
      <c r="X16" s="1354"/>
      <c r="Y16" s="375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55"/>
      <c r="Q17" s="1351"/>
      <c r="R17" s="705"/>
      <c r="S17" s="706"/>
      <c r="T17" s="705"/>
      <c r="U17" s="706"/>
      <c r="V17" s="705"/>
      <c r="W17" s="706"/>
      <c r="X17" s="1354"/>
      <c r="Y17" s="3755"/>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5"/>
      <c r="Q18" s="1351" t="str">
        <f>B18</f>
        <v>基础设施水平</v>
      </c>
      <c r="R18" s="705" t="s">
        <v>14</v>
      </c>
      <c r="S18" s="706">
        <f>F18</f>
        <v>100</v>
      </c>
      <c r="T18" s="705" t="s">
        <v>14</v>
      </c>
      <c r="U18" s="706">
        <f>H18</f>
        <v>100</v>
      </c>
      <c r="V18" s="705" t="s">
        <v>14</v>
      </c>
      <c r="W18" s="706">
        <f>J18</f>
        <v>100</v>
      </c>
      <c r="X18" s="1354"/>
      <c r="Y18" s="375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55"/>
      <c r="Q19" s="1351"/>
      <c r="R19" s="705"/>
      <c r="S19" s="706"/>
      <c r="T19" s="705"/>
      <c r="U19" s="706"/>
      <c r="V19" s="705"/>
      <c r="W19" s="706"/>
      <c r="X19" s="1354"/>
      <c r="Y19" s="3755"/>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5"/>
      <c r="Q20" s="1351" t="str">
        <f>B20</f>
        <v>自然及人文环境</v>
      </c>
      <c r="R20" s="705" t="s">
        <v>14</v>
      </c>
      <c r="S20" s="706">
        <f>F20</f>
        <v>100</v>
      </c>
      <c r="T20" s="705" t="s">
        <v>14</v>
      </c>
      <c r="U20" s="706">
        <f>H20</f>
        <v>100</v>
      </c>
      <c r="V20" s="705" t="s">
        <v>14</v>
      </c>
      <c r="W20" s="706">
        <f>J20</f>
        <v>100</v>
      </c>
      <c r="X20" s="1354"/>
      <c r="Y20" s="375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55"/>
      <c r="Q21" s="1351"/>
      <c r="R21" s="705"/>
      <c r="S21" s="706"/>
      <c r="T21" s="705"/>
      <c r="U21" s="706"/>
      <c r="V21" s="705"/>
      <c r="W21" s="706"/>
      <c r="X21" s="1354"/>
      <c r="Y21" s="3755"/>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5"/>
      <c r="Q22" s="1351" t="str">
        <f>B22</f>
        <v>楼层</v>
      </c>
      <c r="R22" s="705" t="s">
        <v>14</v>
      </c>
      <c r="S22" s="706">
        <f>F22</f>
        <v>100</v>
      </c>
      <c r="T22" s="705" t="s">
        <v>14</v>
      </c>
      <c r="U22" s="706">
        <f>H22</f>
        <v>100</v>
      </c>
      <c r="V22" s="705" t="s">
        <v>14</v>
      </c>
      <c r="W22" s="706">
        <f>J22</f>
        <v>100</v>
      </c>
      <c r="X22" s="1354"/>
      <c r="Y22" s="375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5"/>
      <c r="Q23" s="1351">
        <f>B23</f>
        <v>111</v>
      </c>
      <c r="R23" s="705" t="s">
        <v>14</v>
      </c>
      <c r="S23" s="706">
        <f>F23</f>
        <v>100</v>
      </c>
      <c r="T23" s="705" t="s">
        <v>14</v>
      </c>
      <c r="U23" s="706">
        <f>H23</f>
        <v>100</v>
      </c>
      <c r="V23" s="705" t="s">
        <v>14</v>
      </c>
      <c r="W23" s="706">
        <f>J23</f>
        <v>100</v>
      </c>
      <c r="X23" s="1354"/>
      <c r="Y23" s="375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5"/>
      <c r="Q24" s="1351">
        <f t="shared" ref="Q24:Q34" si="11">B24</f>
        <v>111</v>
      </c>
      <c r="R24" s="705" t="s">
        <v>14</v>
      </c>
      <c r="S24" s="706">
        <f>F24</f>
        <v>100</v>
      </c>
      <c r="T24" s="705" t="s">
        <v>14</v>
      </c>
      <c r="U24" s="706">
        <f>H24</f>
        <v>100</v>
      </c>
      <c r="V24" s="705" t="s">
        <v>14</v>
      </c>
      <c r="W24" s="706">
        <f>J24</f>
        <v>100</v>
      </c>
      <c r="X24" s="1354"/>
      <c r="Y24" s="375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5"/>
      <c r="Q25" s="1342">
        <f t="shared" si="11"/>
        <v>111</v>
      </c>
      <c r="R25" s="701" t="s">
        <v>14</v>
      </c>
      <c r="S25" s="702">
        <f>F25</f>
        <v>100</v>
      </c>
      <c r="T25" s="701" t="s">
        <v>14</v>
      </c>
      <c r="U25" s="702">
        <f>H25</f>
        <v>100</v>
      </c>
      <c r="V25" s="701" t="s">
        <v>14</v>
      </c>
      <c r="W25" s="702">
        <f>J25</f>
        <v>100</v>
      </c>
      <c r="X25" s="703"/>
      <c r="Y25" s="3755"/>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8"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9"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9"/>
      <c r="Q27" s="707" t="str">
        <f t="shared" si="11"/>
        <v>成新率</v>
      </c>
      <c r="R27" s="708" t="s">
        <v>14</v>
      </c>
      <c r="S27" s="709" t="e">
        <f t="shared" si="12"/>
        <v>#N/A</v>
      </c>
      <c r="T27" s="708" t="s">
        <v>14</v>
      </c>
      <c r="U27" s="709" t="e">
        <f t="shared" si="13"/>
        <v>#N/A</v>
      </c>
      <c r="V27" s="708" t="s">
        <v>14</v>
      </c>
      <c r="W27" s="709" t="e">
        <f t="shared" si="14"/>
        <v>#N/A</v>
      </c>
      <c r="X27" s="710"/>
      <c r="Y27" s="3759"/>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9"/>
      <c r="Q28" s="1351" t="str">
        <f t="shared" si="11"/>
        <v>物业等级</v>
      </c>
      <c r="R28" s="705" t="s">
        <v>14</v>
      </c>
      <c r="S28" s="706">
        <f t="shared" si="12"/>
        <v>100</v>
      </c>
      <c r="T28" s="705" t="s">
        <v>14</v>
      </c>
      <c r="U28" s="706">
        <f t="shared" si="13"/>
        <v>100</v>
      </c>
      <c r="V28" s="705" t="s">
        <v>14</v>
      </c>
      <c r="W28" s="706">
        <f t="shared" si="14"/>
        <v>100</v>
      </c>
      <c r="X28" s="1354"/>
      <c r="Y28" s="3759"/>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9"/>
      <c r="Q29" s="1351" t="str">
        <f t="shared" si="11"/>
        <v>有无电梯</v>
      </c>
      <c r="R29" s="705" t="s">
        <v>14</v>
      </c>
      <c r="S29" s="706">
        <f t="shared" si="12"/>
        <v>100</v>
      </c>
      <c r="T29" s="705" t="s">
        <v>14</v>
      </c>
      <c r="U29" s="706">
        <f t="shared" si="13"/>
        <v>100</v>
      </c>
      <c r="V29" s="705" t="s">
        <v>14</v>
      </c>
      <c r="W29" s="706">
        <f t="shared" si="14"/>
        <v>100</v>
      </c>
      <c r="X29" s="1354"/>
      <c r="Y29" s="3759"/>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9"/>
      <c r="Q30" s="1351" t="str">
        <f t="shared" si="11"/>
        <v>建筑面积</v>
      </c>
      <c r="R30" s="705" t="s">
        <v>14</v>
      </c>
      <c r="S30" s="706" t="e">
        <f t="shared" si="12"/>
        <v>#N/A</v>
      </c>
      <c r="T30" s="705" t="s">
        <v>14</v>
      </c>
      <c r="U30" s="706" t="e">
        <f t="shared" si="13"/>
        <v>#N/A</v>
      </c>
      <c r="V30" s="705" t="s">
        <v>14</v>
      </c>
      <c r="W30" s="706" t="e">
        <f t="shared" si="14"/>
        <v>#N/A</v>
      </c>
      <c r="X30" s="1354"/>
      <c r="Y30" s="3759"/>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9"/>
      <c r="Q31" s="1342"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9" t="s">
        <v>1695</v>
      </c>
      <c r="Q32" s="1351">
        <f t="shared" si="11"/>
        <v>111</v>
      </c>
      <c r="R32" s="705" t="s">
        <v>14</v>
      </c>
      <c r="S32" s="706">
        <f t="shared" si="12"/>
        <v>100</v>
      </c>
      <c r="T32" s="705" t="s">
        <v>14</v>
      </c>
      <c r="U32" s="706">
        <f t="shared" si="13"/>
        <v>100</v>
      </c>
      <c r="V32" s="705" t="s">
        <v>14</v>
      </c>
      <c r="W32" s="706">
        <f t="shared" si="14"/>
        <v>100</v>
      </c>
      <c r="X32" s="1354"/>
      <c r="Y32" s="3759"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9"/>
      <c r="Q33" s="1351">
        <f t="shared" si="11"/>
        <v>111</v>
      </c>
      <c r="R33" s="705" t="s">
        <v>14</v>
      </c>
      <c r="S33" s="706">
        <f t="shared" si="12"/>
        <v>100</v>
      </c>
      <c r="T33" s="705" t="s">
        <v>14</v>
      </c>
      <c r="U33" s="706">
        <f t="shared" si="13"/>
        <v>100</v>
      </c>
      <c r="V33" s="705" t="s">
        <v>14</v>
      </c>
      <c r="W33" s="706">
        <f t="shared" si="14"/>
        <v>100</v>
      </c>
      <c r="X33" s="1354"/>
      <c r="Y33" s="375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9"/>
      <c r="Q34" s="1351">
        <f t="shared" si="11"/>
        <v>111</v>
      </c>
      <c r="R34" s="705" t="s">
        <v>14</v>
      </c>
      <c r="S34" s="706">
        <f t="shared" si="12"/>
        <v>100</v>
      </c>
      <c r="T34" s="705" t="s">
        <v>14</v>
      </c>
      <c r="U34" s="706">
        <f t="shared" si="13"/>
        <v>100</v>
      </c>
      <c r="V34" s="705" t="s">
        <v>14</v>
      </c>
      <c r="W34" s="706">
        <f t="shared" si="14"/>
        <v>100</v>
      </c>
      <c r="X34" s="1354"/>
      <c r="Y34" s="3759"/>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49" t="str">
        <f>A37</f>
        <v>估价对象XX用房的比较价值（楼面单价，元/平方米）</v>
      </c>
      <c r="Q37" s="3750"/>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5" zoomScaleNormal="60" zoomScaleSheetLayoutView="85" workbookViewId="0">
      <selection activeCell="L41" sqref="L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333925</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16697</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22" t="s">
        <v>1770</v>
      </c>
      <c r="S4" s="3723"/>
      <c r="T4" s="3722" t="s">
        <v>1771</v>
      </c>
      <c r="U4" s="3723"/>
      <c r="V4" s="3747" t="s">
        <v>1772</v>
      </c>
      <c r="W4" s="3747"/>
      <c r="X4" s="1354"/>
      <c r="Y4" s="3722" t="s">
        <v>1774</v>
      </c>
      <c r="Z4" s="3723"/>
      <c r="AA4" s="3717" t="s">
        <v>1770</v>
      </c>
      <c r="AB4" s="3718" t="s">
        <v>1771</v>
      </c>
      <c r="AC4" s="3717" t="s">
        <v>1772</v>
      </c>
    </row>
    <row r="5" spans="1:30" ht="45.75" customHeight="1">
      <c r="A5" s="358"/>
      <c r="B5" s="359"/>
      <c r="C5" s="3728" t="s">
        <v>1672</v>
      </c>
      <c r="D5" s="3729"/>
      <c r="E5" s="3726" t="str">
        <f>土地案例!A2</f>
        <v>北京市海淀区西北旺镇永丰产业基地(新)HD00-0403-004地块F3其他类多功能用地</v>
      </c>
      <c r="F5" s="3727"/>
      <c r="G5" s="3728" t="str">
        <f>土地案例!A3</f>
        <v>北京市海淀区西北旺镇永丰产业基地(新)HD00-0403-009地块F3其他类多功能用地</v>
      </c>
      <c r="H5" s="3729"/>
      <c r="I5" s="3728" t="str">
        <f>土地案例!A8</f>
        <v>北京市海淀区西八里庄0711-652、640、641地块B4综合性商业金融服务业用地</v>
      </c>
      <c r="J5" s="3729"/>
      <c r="K5" s="559"/>
      <c r="L5" s="2714"/>
      <c r="M5" s="2715"/>
      <c r="N5" s="2715"/>
      <c r="O5" s="2715"/>
      <c r="P5" s="3741"/>
      <c r="Q5" s="3742"/>
      <c r="R5" s="3724"/>
      <c r="S5" s="3725"/>
      <c r="T5" s="3724"/>
      <c r="U5" s="3725"/>
      <c r="V5" s="3747"/>
      <c r="W5" s="3747"/>
      <c r="X5" s="1354"/>
      <c r="Y5" s="3724"/>
      <c r="Z5" s="3725"/>
      <c r="AA5" s="3718"/>
      <c r="AB5" s="3718"/>
      <c r="AC5" s="3718"/>
    </row>
    <row r="6" spans="1:30" ht="15.75" thickBot="1">
      <c r="A6" s="360"/>
      <c r="B6" s="361"/>
      <c r="C6" s="3730" t="s">
        <v>1676</v>
      </c>
      <c r="D6" s="3731"/>
      <c r="E6" s="3732" t="s">
        <v>1676</v>
      </c>
      <c r="F6" s="3733"/>
      <c r="G6" s="3730" t="s">
        <v>1676</v>
      </c>
      <c r="H6" s="3731"/>
      <c r="I6" s="3730" t="s">
        <v>1676</v>
      </c>
      <c r="J6" s="3731"/>
      <c r="K6" s="559" t="s">
        <v>1677</v>
      </c>
      <c r="L6" s="2714"/>
      <c r="M6" s="2715"/>
      <c r="N6" s="2715"/>
      <c r="O6" s="2715"/>
      <c r="P6" s="3743"/>
      <c r="Q6" s="3744"/>
      <c r="R6" s="3724"/>
      <c r="S6" s="3725"/>
      <c r="T6" s="3745"/>
      <c r="U6" s="3746"/>
      <c r="V6" s="3747"/>
      <c r="W6" s="3747"/>
      <c r="X6" s="1354"/>
      <c r="Y6" s="3745"/>
      <c r="Z6" s="3746"/>
      <c r="AA6" s="3719"/>
      <c r="AB6" s="3719"/>
      <c r="AC6" s="3719"/>
    </row>
    <row r="7" spans="1:30" s="108" customFormat="1" ht="15.75" thickBot="1">
      <c r="A7" s="362" t="s">
        <v>1678</v>
      </c>
      <c r="B7" s="363"/>
      <c r="C7" s="364">
        <f>'数据-取费表'!B2</f>
        <v>45182</v>
      </c>
      <c r="D7" s="365">
        <v>100</v>
      </c>
      <c r="E7" s="366">
        <f>土地案例!L2</f>
        <v>45141.000497685185</v>
      </c>
      <c r="F7" s="367">
        <f>SUMIF(69:69,YEAR(E7)&amp;"-"&amp;INT((MONTH(E7)+2)/3),70:70)</f>
        <v>100</v>
      </c>
      <c r="G7" s="1973">
        <f>土地案例!L3</f>
        <v>44865.000497685185</v>
      </c>
      <c r="H7" s="365">
        <f>SUMIF(69:69,YEAR(G7)&amp;"-"&amp;INT((MONTH(G7)+2)/3),70:70)</f>
        <v>99.100000000000009</v>
      </c>
      <c r="I7" s="1973">
        <f>土地案例!L8</f>
        <v>44167.000497685185</v>
      </c>
      <c r="J7" s="365">
        <f>SUMIF(69:69,YEAR(I7)&amp;"-"&amp;INT((MONTH(I7)+2)/3),70:70)</f>
        <v>96.700000000000031</v>
      </c>
      <c r="K7" s="560"/>
      <c r="L7" s="2716"/>
      <c r="M7" s="3498">
        <v>0.28000000000000003</v>
      </c>
      <c r="N7" s="2717" t="s">
        <v>3578</v>
      </c>
      <c r="O7" s="2717"/>
      <c r="P7" s="3720" t="s">
        <v>1679</v>
      </c>
      <c r="Q7" s="3748"/>
      <c r="R7" s="701" t="s">
        <v>14</v>
      </c>
      <c r="S7" s="702">
        <f t="shared" ref="S7:S15" si="0">F7</f>
        <v>100</v>
      </c>
      <c r="T7" s="701" t="s">
        <v>14</v>
      </c>
      <c r="U7" s="702">
        <f t="shared" ref="U7:U15" si="1">H7</f>
        <v>99.100000000000009</v>
      </c>
      <c r="V7" s="701" t="s">
        <v>14</v>
      </c>
      <c r="W7" s="702">
        <f t="shared" ref="W7:W15" si="2">J7</f>
        <v>96.700000000000031</v>
      </c>
      <c r="X7" s="703"/>
      <c r="Y7" s="3720" t="s">
        <v>1679</v>
      </c>
      <c r="Z7" s="3721"/>
      <c r="AA7" s="704">
        <f>D7/F7</f>
        <v>1</v>
      </c>
      <c r="AB7" s="704">
        <f>D7/H7</f>
        <v>1.0090817356205852</v>
      </c>
      <c r="AC7" s="704">
        <f>D7/J7</f>
        <v>1.0341261633919334</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6"/>
      <c r="M8" s="3499" t="s">
        <v>3579</v>
      </c>
      <c r="N8" s="2717">
        <f>'数据-汇总表'!F20</f>
        <v>35391.620000000003</v>
      </c>
      <c r="O8" s="2717">
        <f>N8/N9</f>
        <v>0.21142463994490668</v>
      </c>
      <c r="P8" s="3720" t="s">
        <v>1682</v>
      </c>
      <c r="Q8" s="3721"/>
      <c r="R8" s="701" t="s">
        <v>14</v>
      </c>
      <c r="S8" s="702">
        <f t="shared" si="0"/>
        <v>100</v>
      </c>
      <c r="T8" s="701" t="s">
        <v>14</v>
      </c>
      <c r="U8" s="702">
        <f t="shared" si="1"/>
        <v>100</v>
      </c>
      <c r="V8" s="701" t="s">
        <v>14</v>
      </c>
      <c r="W8" s="702">
        <f t="shared" si="2"/>
        <v>100</v>
      </c>
      <c r="X8" s="703"/>
      <c r="Y8" s="3720" t="s">
        <v>1682</v>
      </c>
      <c r="Z8" s="3721"/>
      <c r="AA8" s="704">
        <f t="shared" ref="AA8:AA45" si="3">D8/F8</f>
        <v>1</v>
      </c>
      <c r="AB8" s="704">
        <f t="shared" ref="AB8:AB45" si="4">D8/H8</f>
        <v>1</v>
      </c>
      <c r="AC8" s="704">
        <f t="shared" ref="AC8:AC45" si="5">D8/J8</f>
        <v>1</v>
      </c>
    </row>
    <row r="9" spans="1:30" s="108" customFormat="1" ht="15">
      <c r="A9" s="369" t="s">
        <v>1683</v>
      </c>
      <c r="B9" s="63" t="s">
        <v>1684</v>
      </c>
      <c r="C9" s="1976" t="s">
        <v>3575</v>
      </c>
      <c r="D9" s="126">
        <v>100</v>
      </c>
      <c r="E9" s="1976" t="s">
        <v>673</v>
      </c>
      <c r="F9" s="126">
        <f>SUMIF(74:74,E9,75:75)-SUMIF(74:74,C9,75:75)+100</f>
        <v>115</v>
      </c>
      <c r="G9" s="1976" t="s">
        <v>673</v>
      </c>
      <c r="H9" s="126">
        <f>SUMIF(74:74,G9,75:75)-SUMIF(74:74,C9,75:75)+100</f>
        <v>115</v>
      </c>
      <c r="I9" s="1976" t="s">
        <v>673</v>
      </c>
      <c r="J9" s="126">
        <f>SUMIF(74:74,I9,75:75)-SUMIF(74:74,C9,75:75)+100</f>
        <v>115</v>
      </c>
      <c r="K9" s="560"/>
      <c r="L9" s="2716"/>
      <c r="M9" s="3499" t="s">
        <v>3580</v>
      </c>
      <c r="N9" s="2717">
        <f>'数据-汇总表'!F31</f>
        <v>167395.91</v>
      </c>
      <c r="O9" s="2771"/>
      <c r="P9" s="3752" t="s">
        <v>1685</v>
      </c>
      <c r="Q9" s="1342" t="str">
        <f t="shared" ref="Q9:Q15" si="6">B9</f>
        <v>用途</v>
      </c>
      <c r="R9" s="701" t="s">
        <v>14</v>
      </c>
      <c r="S9" s="702">
        <f t="shared" si="0"/>
        <v>115</v>
      </c>
      <c r="T9" s="701" t="s">
        <v>14</v>
      </c>
      <c r="U9" s="702">
        <f t="shared" si="1"/>
        <v>115</v>
      </c>
      <c r="V9" s="701" t="s">
        <v>14</v>
      </c>
      <c r="W9" s="702">
        <f t="shared" si="2"/>
        <v>115</v>
      </c>
      <c r="X9" s="703"/>
      <c r="Y9" s="3664" t="s">
        <v>1686</v>
      </c>
      <c r="Z9" s="52" t="str">
        <f t="shared" ref="Z9:Z15" si="7">Q9</f>
        <v>用途</v>
      </c>
      <c r="AA9" s="704">
        <f t="shared" si="3"/>
        <v>0.86956521739130432</v>
      </c>
      <c r="AB9" s="704">
        <f t="shared" si="4"/>
        <v>0.86956521739130432</v>
      </c>
      <c r="AC9" s="704">
        <f t="shared" si="5"/>
        <v>0.86956521739130432</v>
      </c>
    </row>
    <row r="10" spans="1:30" s="378" customFormat="1" ht="27">
      <c r="A10" s="374"/>
      <c r="B10" s="375" t="s">
        <v>1687</v>
      </c>
      <c r="C10" s="383">
        <f>项目基本情况!D15</f>
        <v>20.67</v>
      </c>
      <c r="D10" s="127">
        <v>100</v>
      </c>
      <c r="E10" s="416" t="s">
        <v>3565</v>
      </c>
      <c r="F10" s="127">
        <f>ROUND(100/'数据-取费表'!G16,0)</f>
        <v>131</v>
      </c>
      <c r="G10" s="414" t="s">
        <v>3565</v>
      </c>
      <c r="H10" s="127">
        <f>ROUND(100/'数据-取费表'!G16,0)</f>
        <v>131</v>
      </c>
      <c r="I10" s="414" t="s">
        <v>3565</v>
      </c>
      <c r="J10" s="127">
        <f>ROUND(100/'数据-取费表'!G16,0)</f>
        <v>131</v>
      </c>
      <c r="K10" s="620"/>
      <c r="L10" s="2718"/>
      <c r="M10" s="2719"/>
      <c r="N10" s="2719"/>
      <c r="O10" s="2772"/>
      <c r="P10" s="3752"/>
      <c r="Q10" s="1342" t="str">
        <f t="shared" si="6"/>
        <v>土地使用年限（年）</v>
      </c>
      <c r="R10" s="701" t="s">
        <v>14</v>
      </c>
      <c r="S10" s="702">
        <f t="shared" si="0"/>
        <v>131</v>
      </c>
      <c r="T10" s="701" t="s">
        <v>14</v>
      </c>
      <c r="U10" s="702">
        <f t="shared" si="1"/>
        <v>131</v>
      </c>
      <c r="V10" s="701" t="s">
        <v>14</v>
      </c>
      <c r="W10" s="702">
        <f t="shared" si="2"/>
        <v>131</v>
      </c>
      <c r="X10" s="703"/>
      <c r="Y10" s="3664"/>
      <c r="Z10" s="52" t="str">
        <f t="shared" si="7"/>
        <v>土地使用年限（年）</v>
      </c>
      <c r="AA10" s="704">
        <f t="shared" si="3"/>
        <v>0.76335877862595425</v>
      </c>
      <c r="AB10" s="704">
        <f t="shared" si="4"/>
        <v>0.76335877862595425</v>
      </c>
      <c r="AC10" s="704">
        <f t="shared" si="5"/>
        <v>0.76335877862595425</v>
      </c>
    </row>
    <row r="11" spans="1:30" ht="15">
      <c r="A11" s="379"/>
      <c r="B11" s="375" t="s">
        <v>1688</v>
      </c>
      <c r="C11" s="380">
        <f>'数据-汇总表'!I3</f>
        <v>3.95</v>
      </c>
      <c r="D11" s="127">
        <v>100</v>
      </c>
      <c r="E11" s="380">
        <v>2.2000000000000002</v>
      </c>
      <c r="F11" s="127">
        <f>LOOKUP(E11,79:79,80:80)-LOOKUP(C11,79:79,80:80)+100</f>
        <v>102</v>
      </c>
      <c r="G11" s="381">
        <v>2.2000000000000002</v>
      </c>
      <c r="H11" s="127">
        <f>LOOKUP(G11,79:79,80:80)-LOOKUP(C11,79:79,80:80)+100</f>
        <v>102</v>
      </c>
      <c r="I11" s="380">
        <f>ROUND(土地案例!H8/土地案例!I8,2)</f>
        <v>3.57</v>
      </c>
      <c r="J11" s="127">
        <f>LOOKUP(I11,79:79,80:80)-LOOKUP(C11,79:79,80:80)+100</f>
        <v>100</v>
      </c>
      <c r="K11" s="621">
        <v>2</v>
      </c>
      <c r="L11" s="2720"/>
      <c r="M11" s="2715">
        <v>10000</v>
      </c>
      <c r="N11" s="2715">
        <f>M11*N9</f>
        <v>1673959100</v>
      </c>
      <c r="O11" s="2773"/>
      <c r="P11" s="3752"/>
      <c r="Q11" s="1342" t="str">
        <f t="shared" si="6"/>
        <v>容积率</v>
      </c>
      <c r="R11" s="701" t="s">
        <v>14</v>
      </c>
      <c r="S11" s="702">
        <f t="shared" si="0"/>
        <v>102</v>
      </c>
      <c r="T11" s="701" t="s">
        <v>14</v>
      </c>
      <c r="U11" s="702">
        <f t="shared" si="1"/>
        <v>102</v>
      </c>
      <c r="V11" s="701" t="s">
        <v>14</v>
      </c>
      <c r="W11" s="702">
        <f t="shared" si="2"/>
        <v>100</v>
      </c>
      <c r="X11" s="703"/>
      <c r="Y11" s="3664"/>
      <c r="Z11" s="52" t="str">
        <f t="shared" si="7"/>
        <v>容积率</v>
      </c>
      <c r="AA11" s="704">
        <f t="shared" si="3"/>
        <v>0.98039215686274506</v>
      </c>
      <c r="AB11" s="704">
        <f t="shared" si="4"/>
        <v>0.98039215686274506</v>
      </c>
      <c r="AC11" s="704">
        <f t="shared" si="5"/>
        <v>1</v>
      </c>
    </row>
    <row r="12" spans="1:30" s="108" customFormat="1" ht="15" hidden="1">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2"/>
      <c r="Q12" s="1342" t="str">
        <f t="shared" si="6"/>
        <v>配建</v>
      </c>
      <c r="R12" s="701" t="s">
        <v>14</v>
      </c>
      <c r="S12" s="702">
        <f t="shared" si="0"/>
        <v>100</v>
      </c>
      <c r="T12" s="701" t="s">
        <v>14</v>
      </c>
      <c r="U12" s="702">
        <f t="shared" si="1"/>
        <v>100</v>
      </c>
      <c r="V12" s="701" t="s">
        <v>14</v>
      </c>
      <c r="W12" s="702">
        <f t="shared" si="2"/>
        <v>100</v>
      </c>
      <c r="X12" s="703"/>
      <c r="Y12" s="3664"/>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64"/>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2"/>
      <c r="Q14" s="1342">
        <f t="shared" si="6"/>
        <v>111</v>
      </c>
      <c r="R14" s="701" t="s">
        <v>14</v>
      </c>
      <c r="S14" s="702">
        <f t="shared" si="0"/>
        <v>100</v>
      </c>
      <c r="T14" s="701" t="s">
        <v>14</v>
      </c>
      <c r="U14" s="702">
        <f t="shared" si="1"/>
        <v>100</v>
      </c>
      <c r="V14" s="701" t="s">
        <v>14</v>
      </c>
      <c r="W14" s="702">
        <f t="shared" si="2"/>
        <v>100</v>
      </c>
      <c r="X14" s="703"/>
      <c r="Y14" s="3664"/>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4" t="s">
        <v>1690</v>
      </c>
      <c r="Q15" s="1351" t="str">
        <f t="shared" si="6"/>
        <v>居住社区成熟度</v>
      </c>
      <c r="R15" s="705" t="s">
        <v>14</v>
      </c>
      <c r="S15" s="706">
        <f t="shared" si="0"/>
        <v>100</v>
      </c>
      <c r="T15" s="705" t="s">
        <v>14</v>
      </c>
      <c r="U15" s="706">
        <f t="shared" si="1"/>
        <v>100</v>
      </c>
      <c r="V15" s="705" t="s">
        <v>14</v>
      </c>
      <c r="W15" s="706">
        <f t="shared" si="2"/>
        <v>100</v>
      </c>
      <c r="X15" s="1354"/>
      <c r="Y15" s="3754"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55"/>
      <c r="Q16" s="1351"/>
      <c r="R16" s="705"/>
      <c r="S16" s="706"/>
      <c r="T16" s="705"/>
      <c r="U16" s="706"/>
      <c r="V16" s="705"/>
      <c r="W16" s="706"/>
      <c r="X16" s="1354"/>
      <c r="Y16" s="3755"/>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90</v>
      </c>
      <c r="G17" s="403"/>
      <c r="H17" s="406">
        <f>SUMIF(89:89,G18,90:90)-SUMIF(89:89,C18,90:90)+100</f>
        <v>90</v>
      </c>
      <c r="I17" s="405"/>
      <c r="J17" s="406">
        <f>SUMIF(89:89,I18,90:90)-SUMIF(89:89,C18,90:90)+100</f>
        <v>100</v>
      </c>
      <c r="K17" s="621">
        <v>10</v>
      </c>
      <c r="L17" s="2721"/>
      <c r="M17" s="2715"/>
      <c r="N17" s="2715">
        <f>N8*M11*M7+(N9-N8)*M11</f>
        <v>1419139436</v>
      </c>
      <c r="O17" s="2773"/>
      <c r="P17" s="3755"/>
      <c r="Q17" s="1351" t="str">
        <f>B17</f>
        <v>商业繁华度</v>
      </c>
      <c r="R17" s="705" t="s">
        <v>14</v>
      </c>
      <c r="S17" s="706">
        <f>F17</f>
        <v>90</v>
      </c>
      <c r="T17" s="705" t="s">
        <v>14</v>
      </c>
      <c r="U17" s="706">
        <f>H17</f>
        <v>90</v>
      </c>
      <c r="V17" s="705" t="s">
        <v>14</v>
      </c>
      <c r="W17" s="706">
        <f>J17</f>
        <v>100</v>
      </c>
      <c r="X17" s="1354"/>
      <c r="Y17" s="3755"/>
      <c r="Z17" s="1355" t="str">
        <f>Q17</f>
        <v>商业繁华度</v>
      </c>
      <c r="AA17" s="1352">
        <f t="shared" si="3"/>
        <v>1.1111111111111112</v>
      </c>
      <c r="AB17" s="1352">
        <f t="shared" si="4"/>
        <v>1.1111111111111112</v>
      </c>
      <c r="AC17" s="1352">
        <f t="shared" si="5"/>
        <v>1</v>
      </c>
    </row>
    <row r="18" spans="1:29" ht="15">
      <c r="A18" s="379"/>
      <c r="B18" s="407"/>
      <c r="C18" s="1900" t="s">
        <v>3457</v>
      </c>
      <c r="D18" s="401"/>
      <c r="E18" s="1902" t="s">
        <v>3459</v>
      </c>
      <c r="F18" s="401"/>
      <c r="G18" s="1902" t="s">
        <v>3459</v>
      </c>
      <c r="H18" s="399"/>
      <c r="I18" s="1901" t="s">
        <v>3457</v>
      </c>
      <c r="J18" s="399"/>
      <c r="K18" s="620"/>
      <c r="L18" s="2721"/>
      <c r="M18" s="2715"/>
      <c r="N18" s="2715">
        <f>N17/N11</f>
        <v>0.84777425923966721</v>
      </c>
      <c r="O18" s="2773"/>
      <c r="P18" s="3755"/>
      <c r="Q18" s="1351"/>
      <c r="R18" s="705"/>
      <c r="S18" s="706"/>
      <c r="T18" s="705"/>
      <c r="U18" s="706"/>
      <c r="V18" s="705"/>
      <c r="W18" s="706"/>
      <c r="X18" s="1354"/>
      <c r="Y18" s="3755"/>
      <c r="Z18" s="1355"/>
      <c r="AA18" s="1352">
        <v>1</v>
      </c>
      <c r="AB18" s="1352">
        <v>1</v>
      </c>
      <c r="AC18" s="1352">
        <v>1</v>
      </c>
    </row>
    <row r="19" spans="1:29" ht="71.25" hidden="1">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5"/>
      <c r="Q19" s="1351" t="str">
        <f>B19</f>
        <v>办公集聚程度</v>
      </c>
      <c r="R19" s="705" t="s">
        <v>14</v>
      </c>
      <c r="S19" s="706">
        <f>F19</f>
        <v>100</v>
      </c>
      <c r="T19" s="705" t="s">
        <v>14</v>
      </c>
      <c r="U19" s="706">
        <f>H19</f>
        <v>100</v>
      </c>
      <c r="V19" s="705" t="s">
        <v>14</v>
      </c>
      <c r="W19" s="706">
        <f>J19</f>
        <v>100</v>
      </c>
      <c r="X19" s="1354"/>
      <c r="Y19" s="3755"/>
      <c r="Z19" s="1355" t="str">
        <f>Q19</f>
        <v>办公集聚程度</v>
      </c>
      <c r="AA19" s="1352">
        <f t="shared" si="3"/>
        <v>1</v>
      </c>
      <c r="AB19" s="1352">
        <f t="shared" si="4"/>
        <v>1</v>
      </c>
      <c r="AC19" s="1352">
        <f t="shared" si="5"/>
        <v>1</v>
      </c>
    </row>
    <row r="20" spans="1:29" ht="15" hidden="1">
      <c r="A20" s="379"/>
      <c r="B20" s="407"/>
      <c r="C20" s="398"/>
      <c r="D20" s="399"/>
      <c r="E20" s="1897"/>
      <c r="F20" s="399"/>
      <c r="G20" s="1897"/>
      <c r="H20" s="399"/>
      <c r="I20" s="1896"/>
      <c r="J20" s="399"/>
      <c r="K20" s="620"/>
      <c r="L20" s="2721"/>
      <c r="M20" s="2715"/>
      <c r="N20" s="2715"/>
      <c r="O20" s="2773"/>
      <c r="P20" s="3755"/>
      <c r="Q20" s="1351"/>
      <c r="R20" s="705"/>
      <c r="S20" s="706"/>
      <c r="T20" s="705"/>
      <c r="U20" s="706"/>
      <c r="V20" s="705"/>
      <c r="W20" s="706"/>
      <c r="X20" s="1354"/>
      <c r="Y20" s="3755"/>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90</v>
      </c>
      <c r="G21" s="403"/>
      <c r="H21" s="401">
        <f>SUMIF(93:93,G22,94:94)-SUMIF(93:93,C22,94:94)+100</f>
        <v>90</v>
      </c>
      <c r="I21" s="405"/>
      <c r="J21" s="401">
        <f>SUMIF(93:93,I22,94:94)-SUMIF(93:93,C22,94:94)+100</f>
        <v>100</v>
      </c>
      <c r="K21" s="621">
        <v>10</v>
      </c>
      <c r="L21" s="2721"/>
      <c r="M21" s="2715"/>
      <c r="N21" s="2715"/>
      <c r="O21" s="2773"/>
      <c r="P21" s="3755"/>
      <c r="Q21" s="1351" t="str">
        <f>B21</f>
        <v>交通便捷度</v>
      </c>
      <c r="R21" s="705" t="s">
        <v>14</v>
      </c>
      <c r="S21" s="706">
        <f>F21</f>
        <v>90</v>
      </c>
      <c r="T21" s="705" t="s">
        <v>14</v>
      </c>
      <c r="U21" s="706">
        <f>H21</f>
        <v>90</v>
      </c>
      <c r="V21" s="705" t="s">
        <v>14</v>
      </c>
      <c r="W21" s="706">
        <f>J21</f>
        <v>100</v>
      </c>
      <c r="X21" s="1354"/>
      <c r="Y21" s="3755"/>
      <c r="Z21" s="1355" t="str">
        <f>Q21</f>
        <v>交通便捷度</v>
      </c>
      <c r="AA21" s="1352">
        <f t="shared" si="3"/>
        <v>1.1111111111111112</v>
      </c>
      <c r="AB21" s="1352">
        <f t="shared" si="4"/>
        <v>1.1111111111111112</v>
      </c>
      <c r="AC21" s="1352">
        <f t="shared" si="5"/>
        <v>1</v>
      </c>
    </row>
    <row r="22" spans="1:29" ht="15">
      <c r="A22" s="379"/>
      <c r="B22" s="1131"/>
      <c r="C22" s="398" t="s">
        <v>3457</v>
      </c>
      <c r="D22" s="401"/>
      <c r="E22" s="1897" t="s">
        <v>3459</v>
      </c>
      <c r="F22" s="399"/>
      <c r="G22" s="1897" t="s">
        <v>3459</v>
      </c>
      <c r="H22" s="399"/>
      <c r="I22" s="1896" t="s">
        <v>3457</v>
      </c>
      <c r="J22" s="399"/>
      <c r="K22" s="620"/>
      <c r="L22" s="2721"/>
      <c r="M22" s="2715"/>
      <c r="N22" s="2715"/>
      <c r="O22" s="2773"/>
      <c r="P22" s="3755"/>
      <c r="Q22" s="1351"/>
      <c r="R22" s="705"/>
      <c r="S22" s="706"/>
      <c r="T22" s="705"/>
      <c r="U22" s="706"/>
      <c r="V22" s="705"/>
      <c r="W22" s="706"/>
      <c r="X22" s="1354"/>
      <c r="Y22" s="3755"/>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55"/>
      <c r="Q23" s="1351" t="str">
        <f t="shared" ref="Q23:Q37" si="8">B23</f>
        <v>区域土地利用方向</v>
      </c>
      <c r="R23" s="705" t="s">
        <v>14</v>
      </c>
      <c r="S23" s="706">
        <f>F23</f>
        <v>100</v>
      </c>
      <c r="T23" s="705" t="s">
        <v>14</v>
      </c>
      <c r="U23" s="706">
        <f>H23</f>
        <v>100</v>
      </c>
      <c r="V23" s="705" t="s">
        <v>14</v>
      </c>
      <c r="W23" s="706">
        <f>J23</f>
        <v>100</v>
      </c>
      <c r="X23" s="1354"/>
      <c r="Y23" s="3755"/>
      <c r="Z23" s="1355" t="str">
        <f>Q23</f>
        <v>区域土地利用方向</v>
      </c>
      <c r="AA23" s="1352">
        <f t="shared" si="3"/>
        <v>1</v>
      </c>
      <c r="AB23" s="1352">
        <f t="shared" si="4"/>
        <v>1</v>
      </c>
      <c r="AC23" s="1352">
        <f t="shared" si="5"/>
        <v>1</v>
      </c>
    </row>
    <row r="24" spans="1:29" ht="15">
      <c r="A24" s="358"/>
      <c r="B24" s="407"/>
      <c r="C24" s="565" t="s">
        <v>3457</v>
      </c>
      <c r="D24" s="399"/>
      <c r="E24" s="565" t="s">
        <v>3457</v>
      </c>
      <c r="F24" s="399"/>
      <c r="G24" s="565" t="s">
        <v>3457</v>
      </c>
      <c r="H24" s="399"/>
      <c r="I24" s="565" t="s">
        <v>3457</v>
      </c>
      <c r="J24" s="399"/>
      <c r="K24" s="740"/>
      <c r="L24" s="2721"/>
      <c r="M24" s="2715"/>
      <c r="N24" s="2715"/>
      <c r="O24" s="2773"/>
      <c r="P24" s="3755"/>
      <c r="Q24" s="1351"/>
      <c r="R24" s="705"/>
      <c r="S24" s="706"/>
      <c r="T24" s="705"/>
      <c r="U24" s="706"/>
      <c r="V24" s="705"/>
      <c r="W24" s="706"/>
      <c r="X24" s="1354"/>
      <c r="Y24" s="3755"/>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1"/>
      <c r="M25" s="2715"/>
      <c r="N25" s="2715"/>
      <c r="O25" s="2773"/>
      <c r="P25" s="3755"/>
      <c r="Q25" s="1351" t="str">
        <f t="shared" si="8"/>
        <v>自然及人文环境状况</v>
      </c>
      <c r="R25" s="705" t="s">
        <v>14</v>
      </c>
      <c r="S25" s="706">
        <f>F25</f>
        <v>100</v>
      </c>
      <c r="T25" s="705" t="s">
        <v>14</v>
      </c>
      <c r="U25" s="706">
        <f>H25</f>
        <v>100</v>
      </c>
      <c r="V25" s="705" t="s">
        <v>14</v>
      </c>
      <c r="W25" s="706">
        <f>J25</f>
        <v>100</v>
      </c>
      <c r="X25" s="1354"/>
      <c r="Y25" s="3755"/>
      <c r="Z25" s="1355" t="str">
        <f>Q25</f>
        <v>自然及人文环境状况</v>
      </c>
      <c r="AA25" s="1352">
        <f t="shared" si="3"/>
        <v>1</v>
      </c>
      <c r="AB25" s="1352">
        <f t="shared" si="4"/>
        <v>1</v>
      </c>
      <c r="AC25" s="1352">
        <f t="shared" si="5"/>
        <v>1</v>
      </c>
    </row>
    <row r="26" spans="1:29" ht="15">
      <c r="A26" s="358"/>
      <c r="B26" s="407"/>
      <c r="C26" s="398" t="s">
        <v>3457</v>
      </c>
      <c r="D26" s="399"/>
      <c r="E26" s="398" t="s">
        <v>3457</v>
      </c>
      <c r="F26" s="399"/>
      <c r="G26" s="398" t="s">
        <v>3457</v>
      </c>
      <c r="H26" s="399"/>
      <c r="I26" s="398" t="s">
        <v>3457</v>
      </c>
      <c r="J26" s="399"/>
      <c r="K26" s="620"/>
      <c r="L26" s="2721"/>
      <c r="M26" s="2715"/>
      <c r="N26" s="2715"/>
      <c r="O26" s="2773"/>
      <c r="P26" s="3755"/>
      <c r="Q26" s="1351"/>
      <c r="R26" s="705"/>
      <c r="S26" s="706"/>
      <c r="T26" s="705"/>
      <c r="U26" s="706"/>
      <c r="V26" s="705"/>
      <c r="W26" s="706"/>
      <c r="X26" s="1354"/>
      <c r="Y26" s="3755"/>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90</v>
      </c>
      <c r="G27" s="403"/>
      <c r="H27" s="401">
        <f>SUMIF(99:99,G28,100:100)-SUMIF(99:99,C28,100:100)+100</f>
        <v>90</v>
      </c>
      <c r="I27" s="405"/>
      <c r="J27" s="401">
        <f>SUMIF(99:99,I28,100:100)-SUMIF(99:99,C28,100:100)+100</f>
        <v>100</v>
      </c>
      <c r="K27" s="621">
        <v>10</v>
      </c>
      <c r="L27" s="2716"/>
      <c r="M27" s="2717"/>
      <c r="N27" s="2717"/>
      <c r="O27" s="2771"/>
      <c r="P27" s="3755"/>
      <c r="Q27" s="1342" t="str">
        <f t="shared" si="8"/>
        <v>公共配套设施</v>
      </c>
      <c r="R27" s="701" t="s">
        <v>14</v>
      </c>
      <c r="S27" s="702">
        <f>F27</f>
        <v>90</v>
      </c>
      <c r="T27" s="701" t="s">
        <v>14</v>
      </c>
      <c r="U27" s="702">
        <f>H27</f>
        <v>90</v>
      </c>
      <c r="V27" s="701" t="s">
        <v>14</v>
      </c>
      <c r="W27" s="702">
        <f>J27</f>
        <v>100</v>
      </c>
      <c r="X27" s="703"/>
      <c r="Y27" s="3755"/>
      <c r="Z27" s="52" t="str">
        <f>Q27</f>
        <v>公共配套设施</v>
      </c>
      <c r="AA27" s="1352">
        <f>D27/F27</f>
        <v>1.1111111111111112</v>
      </c>
      <c r="AB27" s="1352">
        <f>D27/H27</f>
        <v>1.1111111111111112</v>
      </c>
      <c r="AC27" s="1352">
        <f>D27/J27</f>
        <v>1</v>
      </c>
    </row>
    <row r="28" spans="1:29" s="108" customFormat="1" ht="15">
      <c r="A28" s="597"/>
      <c r="B28" s="407"/>
      <c r="C28" s="1977" t="s">
        <v>3457</v>
      </c>
      <c r="D28" s="399"/>
      <c r="E28" s="1903" t="s">
        <v>3459</v>
      </c>
      <c r="F28" s="399"/>
      <c r="G28" s="1903" t="s">
        <v>3459</v>
      </c>
      <c r="H28" s="399"/>
      <c r="I28" s="398" t="s">
        <v>3457</v>
      </c>
      <c r="J28" s="399"/>
      <c r="K28" s="620"/>
      <c r="L28" s="2716"/>
      <c r="M28" s="2717"/>
      <c r="N28" s="2717"/>
      <c r="O28" s="2771"/>
      <c r="P28" s="3755"/>
      <c r="Q28" s="1342"/>
      <c r="R28" s="701"/>
      <c r="S28" s="702"/>
      <c r="T28" s="701"/>
      <c r="U28" s="702"/>
      <c r="V28" s="701"/>
      <c r="W28" s="702"/>
      <c r="X28" s="703"/>
      <c r="Y28" s="3755"/>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55"/>
      <c r="Q29" s="1342" t="str">
        <f t="shared" ref="Q29" si="9">B29</f>
        <v>基础设施水平</v>
      </c>
      <c r="R29" s="701" t="s">
        <v>14</v>
      </c>
      <c r="S29" s="702">
        <f>F29</f>
        <v>100</v>
      </c>
      <c r="T29" s="701" t="s">
        <v>14</v>
      </c>
      <c r="U29" s="702">
        <f>H29</f>
        <v>100</v>
      </c>
      <c r="V29" s="701" t="s">
        <v>14</v>
      </c>
      <c r="W29" s="702">
        <f>J29</f>
        <v>100</v>
      </c>
      <c r="X29" s="703"/>
      <c r="Y29" s="3755"/>
      <c r="Z29" s="52" t="str">
        <f>Q29</f>
        <v>基础设施水平</v>
      </c>
      <c r="AA29" s="1352">
        <f>D29/F29</f>
        <v>1</v>
      </c>
      <c r="AB29" s="1352">
        <f>D29/H29</f>
        <v>1</v>
      </c>
      <c r="AC29" s="1352">
        <f>D29/J29</f>
        <v>1</v>
      </c>
    </row>
    <row r="30" spans="1:29" s="108" customFormat="1" ht="15">
      <c r="A30" s="597"/>
      <c r="B30" s="407"/>
      <c r="C30" s="1977" t="s">
        <v>3564</v>
      </c>
      <c r="D30" s="399"/>
      <c r="E30" s="1977" t="s">
        <v>3564</v>
      </c>
      <c r="F30" s="399"/>
      <c r="G30" s="1977" t="s">
        <v>3564</v>
      </c>
      <c r="H30" s="399"/>
      <c r="I30" s="1977" t="s">
        <v>3564</v>
      </c>
      <c r="J30" s="399"/>
      <c r="K30" s="620"/>
      <c r="L30" s="2716"/>
      <c r="M30" s="2717"/>
      <c r="N30" s="2717"/>
      <c r="O30" s="2771"/>
      <c r="P30" s="3755"/>
      <c r="Q30" s="1342"/>
      <c r="R30" s="701"/>
      <c r="S30" s="702"/>
      <c r="T30" s="701"/>
      <c r="U30" s="702"/>
      <c r="V30" s="701"/>
      <c r="W30" s="702"/>
      <c r="X30" s="703"/>
      <c r="Y30" s="3755"/>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5"/>
      <c r="Z31" s="1355" t="str">
        <f t="shared" ref="Z31:Z45" si="13">Q31</f>
        <v>临街状况</v>
      </c>
      <c r="AA31" s="1352">
        <f t="shared" si="3"/>
        <v>1</v>
      </c>
      <c r="AB31" s="1352">
        <f t="shared" si="4"/>
        <v>1</v>
      </c>
      <c r="AC31" s="1352">
        <f t="shared" si="5"/>
        <v>1</v>
      </c>
    </row>
    <row r="32" spans="1:29" ht="27">
      <c r="A32" s="379"/>
      <c r="B32" s="1131" t="s">
        <v>1814</v>
      </c>
      <c r="C32" s="3500" t="s">
        <v>3583</v>
      </c>
      <c r="D32" s="401">
        <v>100</v>
      </c>
      <c r="E32" s="3501" t="s">
        <v>3585</v>
      </c>
      <c r="F32" s="401">
        <f>SUMIF(105:105,E33,106:106)-SUMIF(105:105,C33,106:106)+100</f>
        <v>98</v>
      </c>
      <c r="G32" s="3501" t="s">
        <v>3586</v>
      </c>
      <c r="H32" s="401">
        <f>SUMIF(105:105,G33,106:106)-SUMIF(105:105,C33,106:106)+100</f>
        <v>98</v>
      </c>
      <c r="I32" s="3500" t="s">
        <v>3583</v>
      </c>
      <c r="J32" s="401">
        <f>SUMIF(105:105,I33,106:106)-SUMIF(105:105,C33,106:106)+100</f>
        <v>100</v>
      </c>
      <c r="K32" s="621">
        <v>2</v>
      </c>
      <c r="L32" s="2721"/>
      <c r="M32" s="2715"/>
      <c r="N32" s="2715"/>
      <c r="O32" s="2773"/>
      <c r="P32" s="3755"/>
      <c r="Q32" s="1351" t="str">
        <f t="shared" si="8"/>
        <v>毗邻道路的类型与等级</v>
      </c>
      <c r="R32" s="705" t="s">
        <v>14</v>
      </c>
      <c r="S32" s="706">
        <f t="shared" si="10"/>
        <v>98</v>
      </c>
      <c r="T32" s="705" t="s">
        <v>14</v>
      </c>
      <c r="U32" s="706">
        <f t="shared" si="11"/>
        <v>98</v>
      </c>
      <c r="V32" s="705" t="s">
        <v>14</v>
      </c>
      <c r="W32" s="706">
        <f t="shared" si="12"/>
        <v>100</v>
      </c>
      <c r="X32" s="1354"/>
      <c r="Y32" s="3755"/>
      <c r="Z32" s="1355" t="str">
        <f t="shared" si="13"/>
        <v>毗邻道路的类型与等级</v>
      </c>
      <c r="AA32" s="1352">
        <f t="shared" si="3"/>
        <v>1.0204081632653061</v>
      </c>
      <c r="AB32" s="1352">
        <f t="shared" si="4"/>
        <v>1.0204081632653061</v>
      </c>
      <c r="AC32" s="1352">
        <f t="shared" si="5"/>
        <v>1</v>
      </c>
    </row>
    <row r="33" spans="1:29" ht="15.75" thickBot="1">
      <c r="A33" s="379"/>
      <c r="B33" s="407"/>
      <c r="C33" s="398" t="s">
        <v>3582</v>
      </c>
      <c r="D33" s="399"/>
      <c r="E33" s="1903" t="s">
        <v>3584</v>
      </c>
      <c r="F33" s="399"/>
      <c r="G33" s="1903" t="s">
        <v>3584</v>
      </c>
      <c r="H33" s="399"/>
      <c r="I33" s="398" t="s">
        <v>3582</v>
      </c>
      <c r="J33" s="399"/>
      <c r="K33" s="562"/>
      <c r="L33" s="2721"/>
      <c r="M33" s="2715"/>
      <c r="N33" s="2715"/>
      <c r="O33" s="2773"/>
      <c r="P33" s="3755"/>
      <c r="Q33" s="1351"/>
      <c r="R33" s="705"/>
      <c r="S33" s="706"/>
      <c r="T33" s="705"/>
      <c r="U33" s="706"/>
      <c r="V33" s="705"/>
      <c r="W33" s="706"/>
      <c r="X33" s="1354"/>
      <c r="Y33" s="3755"/>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5"/>
      <c r="Q34" s="1351" t="str">
        <f t="shared" si="8"/>
        <v>土地级别</v>
      </c>
      <c r="R34" s="705" t="s">
        <v>14</v>
      </c>
      <c r="S34" s="706">
        <f t="shared" si="10"/>
        <v>100</v>
      </c>
      <c r="T34" s="705" t="s">
        <v>14</v>
      </c>
      <c r="U34" s="706">
        <f t="shared" si="11"/>
        <v>100</v>
      </c>
      <c r="V34" s="705" t="s">
        <v>14</v>
      </c>
      <c r="W34" s="706">
        <f t="shared" si="12"/>
        <v>100</v>
      </c>
      <c r="X34" s="1354"/>
      <c r="Y34" s="3755"/>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5"/>
      <c r="Q35" s="1351">
        <f t="shared" si="8"/>
        <v>111</v>
      </c>
      <c r="R35" s="705" t="s">
        <v>14</v>
      </c>
      <c r="S35" s="706">
        <f t="shared" si="10"/>
        <v>100</v>
      </c>
      <c r="T35" s="705" t="s">
        <v>14</v>
      </c>
      <c r="U35" s="706">
        <f t="shared" si="11"/>
        <v>100</v>
      </c>
      <c r="V35" s="705" t="s">
        <v>14</v>
      </c>
      <c r="W35" s="706">
        <f t="shared" si="12"/>
        <v>100</v>
      </c>
      <c r="X35" s="1354"/>
      <c r="Y35" s="3755"/>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8" t="s">
        <v>1695</v>
      </c>
      <c r="Q36" s="1351">
        <f t="shared" si="8"/>
        <v>111</v>
      </c>
      <c r="R36" s="705" t="s">
        <v>14</v>
      </c>
      <c r="S36" s="706">
        <f t="shared" si="10"/>
        <v>100</v>
      </c>
      <c r="T36" s="705" t="s">
        <v>14</v>
      </c>
      <c r="U36" s="706">
        <f t="shared" si="11"/>
        <v>100</v>
      </c>
      <c r="V36" s="705" t="s">
        <v>14</v>
      </c>
      <c r="W36" s="706">
        <f t="shared" si="12"/>
        <v>100</v>
      </c>
      <c r="X36" s="1354"/>
      <c r="Y36" s="3759"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9"/>
      <c r="Q37" s="1351">
        <f t="shared" si="8"/>
        <v>111</v>
      </c>
      <c r="R37" s="708" t="s">
        <v>14</v>
      </c>
      <c r="S37" s="709">
        <f t="shared" si="10"/>
        <v>100</v>
      </c>
      <c r="T37" s="708" t="s">
        <v>14</v>
      </c>
      <c r="U37" s="709">
        <f t="shared" si="11"/>
        <v>100</v>
      </c>
      <c r="V37" s="708" t="s">
        <v>14</v>
      </c>
      <c r="W37" s="709">
        <f t="shared" si="12"/>
        <v>100</v>
      </c>
      <c r="X37" s="710"/>
      <c r="Y37" s="3759"/>
      <c r="Z37" s="711">
        <f t="shared" si="13"/>
        <v>111</v>
      </c>
      <c r="AA37" s="1352">
        <f t="shared" si="3"/>
        <v>1</v>
      </c>
      <c r="AB37" s="1352">
        <f t="shared" si="4"/>
        <v>1</v>
      </c>
      <c r="AC37" s="1352">
        <f t="shared" si="5"/>
        <v>1</v>
      </c>
    </row>
    <row r="38" spans="1:29" ht="15">
      <c r="A38" s="423" t="s">
        <v>1693</v>
      </c>
      <c r="B38" s="407" t="s">
        <v>1873</v>
      </c>
      <c r="C38" s="627">
        <f>'数据-基础表'!A3</f>
        <v>125311.16</v>
      </c>
      <c r="D38" s="418">
        <v>100</v>
      </c>
      <c r="E38" s="627">
        <f>土地案例!I2</f>
        <v>49900.54</v>
      </c>
      <c r="F38" s="418">
        <f>LOOKUP(E38,116:116,117:117)-LOOKUP(C38,116:116,117:117)+100</f>
        <v>101</v>
      </c>
      <c r="G38" s="627">
        <f>土地案例!I3</f>
        <v>32733.22</v>
      </c>
      <c r="H38" s="418">
        <f>LOOKUP(G38,116:116,117:117)-LOOKUP(C38,116:116,117:117)+100</f>
        <v>101</v>
      </c>
      <c r="I38" s="479">
        <f>土地案例!I8</f>
        <v>51788.13</v>
      </c>
      <c r="J38" s="418">
        <f>LOOKUP(I38,116:116,117:117)-LOOKUP(C38,116:116,117:117)+100</f>
        <v>101</v>
      </c>
      <c r="K38" s="562"/>
      <c r="L38" s="2721"/>
      <c r="M38" s="2715"/>
      <c r="N38" s="2715"/>
      <c r="O38" s="2773"/>
      <c r="P38" s="3759"/>
      <c r="Q38" s="1351" t="str">
        <f>B38</f>
        <v>宗地面积</v>
      </c>
      <c r="R38" s="705" t="s">
        <v>14</v>
      </c>
      <c r="S38" s="706">
        <f t="shared" si="10"/>
        <v>101</v>
      </c>
      <c r="T38" s="705" t="s">
        <v>14</v>
      </c>
      <c r="U38" s="706">
        <f t="shared" si="11"/>
        <v>101</v>
      </c>
      <c r="V38" s="705" t="s">
        <v>14</v>
      </c>
      <c r="W38" s="706">
        <f t="shared" si="12"/>
        <v>101</v>
      </c>
      <c r="X38" s="1354"/>
      <c r="Y38" s="3759"/>
      <c r="Z38" s="1355" t="str">
        <f t="shared" si="13"/>
        <v>宗地面积</v>
      </c>
      <c r="AA38" s="1352">
        <f t="shared" si="3"/>
        <v>0.99009900990099009</v>
      </c>
      <c r="AB38" s="1352">
        <f t="shared" si="4"/>
        <v>0.99009900990099009</v>
      </c>
      <c r="AC38" s="1352">
        <f t="shared" si="5"/>
        <v>0.99009900990099009</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9"/>
      <c r="Q39" s="1351" t="str">
        <f t="shared" ref="Q39:Q45" si="14">B39</f>
        <v>宗地形状</v>
      </c>
      <c r="R39" s="705" t="s">
        <v>14</v>
      </c>
      <c r="S39" s="706">
        <f t="shared" si="10"/>
        <v>100</v>
      </c>
      <c r="T39" s="705" t="s">
        <v>14</v>
      </c>
      <c r="U39" s="706">
        <f t="shared" si="11"/>
        <v>100</v>
      </c>
      <c r="V39" s="705" t="s">
        <v>14</v>
      </c>
      <c r="W39" s="706">
        <f t="shared" si="12"/>
        <v>100</v>
      </c>
      <c r="X39" s="1354"/>
      <c r="Y39" s="3759"/>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9"/>
      <c r="Q40" s="1351" t="str">
        <f t="shared" si="14"/>
        <v>临街宽度及深度</v>
      </c>
      <c r="R40" s="705" t="s">
        <v>14</v>
      </c>
      <c r="S40" s="706">
        <f t="shared" si="10"/>
        <v>100</v>
      </c>
      <c r="T40" s="705" t="s">
        <v>14</v>
      </c>
      <c r="U40" s="706">
        <f t="shared" si="11"/>
        <v>100</v>
      </c>
      <c r="V40" s="705" t="s">
        <v>14</v>
      </c>
      <c r="W40" s="706">
        <f t="shared" si="12"/>
        <v>100</v>
      </c>
      <c r="X40" s="1354"/>
      <c r="Y40" s="3759"/>
      <c r="Z40" s="1355" t="str">
        <f t="shared" si="13"/>
        <v>临街宽度及深度</v>
      </c>
      <c r="AA40" s="1352">
        <f t="shared" si="3"/>
        <v>1</v>
      </c>
      <c r="AB40" s="1352">
        <f t="shared" si="4"/>
        <v>1</v>
      </c>
      <c r="AC40" s="1352">
        <f t="shared" si="5"/>
        <v>1</v>
      </c>
    </row>
    <row r="41" spans="1:29" s="108" customFormat="1" ht="15">
      <c r="A41" s="424"/>
      <c r="B41" s="375" t="s">
        <v>1876</v>
      </c>
      <c r="C41" s="1979" t="s">
        <v>3567</v>
      </c>
      <c r="D41" s="127">
        <v>100</v>
      </c>
      <c r="E41" s="1979" t="s">
        <v>3569</v>
      </c>
      <c r="F41" s="386">
        <f>SUMIF(122:122,E41,123:123)-SUMIF(122:122,C41,123:123)+100</f>
        <v>99</v>
      </c>
      <c r="G41" s="1979" t="s">
        <v>3569</v>
      </c>
      <c r="H41" s="386">
        <f>SUMIF(122:122,G41,123:123)-SUMIF(122:122,C41,123:123)+100</f>
        <v>99</v>
      </c>
      <c r="I41" s="1979" t="s">
        <v>3571</v>
      </c>
      <c r="J41" s="386">
        <f>SUMIF(122:122,I41,123:123)-SUMIF(122:122,C41,123:123)+100</f>
        <v>98</v>
      </c>
      <c r="K41" s="561">
        <v>1</v>
      </c>
      <c r="L41" s="2716"/>
      <c r="M41" s="2717"/>
      <c r="N41" s="2717"/>
      <c r="O41" s="2771"/>
      <c r="P41" s="3759"/>
      <c r="Q41" s="1351" t="str">
        <f t="shared" si="14"/>
        <v>宗地开发程度</v>
      </c>
      <c r="R41" s="701" t="s">
        <v>14</v>
      </c>
      <c r="S41" s="702">
        <f t="shared" si="10"/>
        <v>99</v>
      </c>
      <c r="T41" s="701" t="s">
        <v>14</v>
      </c>
      <c r="U41" s="702">
        <f t="shared" si="11"/>
        <v>99</v>
      </c>
      <c r="V41" s="701" t="s">
        <v>14</v>
      </c>
      <c r="W41" s="702">
        <f t="shared" si="12"/>
        <v>98</v>
      </c>
      <c r="X41" s="703"/>
      <c r="Y41" s="3759"/>
      <c r="Z41" s="52" t="str">
        <f t="shared" si="13"/>
        <v>宗地开发程度</v>
      </c>
      <c r="AA41" s="704">
        <f t="shared" si="3"/>
        <v>1.0101010101010102</v>
      </c>
      <c r="AB41" s="704">
        <f t="shared" si="4"/>
        <v>1.0101010101010102</v>
      </c>
      <c r="AC41" s="704">
        <f t="shared" si="5"/>
        <v>1.0204081632653061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9" t="s">
        <v>1695</v>
      </c>
      <c r="Q42" s="1351" t="str">
        <f t="shared" si="14"/>
        <v>工程地质条件</v>
      </c>
      <c r="R42" s="705" t="s">
        <v>14</v>
      </c>
      <c r="S42" s="706">
        <f t="shared" si="10"/>
        <v>100</v>
      </c>
      <c r="T42" s="705" t="s">
        <v>14</v>
      </c>
      <c r="U42" s="706">
        <f t="shared" si="11"/>
        <v>100</v>
      </c>
      <c r="V42" s="705" t="s">
        <v>14</v>
      </c>
      <c r="W42" s="706">
        <f t="shared" si="12"/>
        <v>100</v>
      </c>
      <c r="X42" s="1354"/>
      <c r="Y42" s="3759"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9"/>
      <c r="Q43" s="1351">
        <f t="shared" si="14"/>
        <v>111</v>
      </c>
      <c r="R43" s="705" t="s">
        <v>14</v>
      </c>
      <c r="S43" s="706">
        <f t="shared" si="10"/>
        <v>100</v>
      </c>
      <c r="T43" s="705" t="s">
        <v>14</v>
      </c>
      <c r="U43" s="706">
        <f t="shared" si="11"/>
        <v>100</v>
      </c>
      <c r="V43" s="705" t="s">
        <v>14</v>
      </c>
      <c r="W43" s="706">
        <f t="shared" si="12"/>
        <v>100</v>
      </c>
      <c r="X43" s="1354"/>
      <c r="Y43" s="375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9"/>
      <c r="Q44" s="1351">
        <f t="shared" si="14"/>
        <v>111</v>
      </c>
      <c r="R44" s="705" t="s">
        <v>14</v>
      </c>
      <c r="S44" s="706">
        <f t="shared" si="10"/>
        <v>100</v>
      </c>
      <c r="T44" s="705" t="s">
        <v>14</v>
      </c>
      <c r="U44" s="706">
        <f t="shared" si="11"/>
        <v>100</v>
      </c>
      <c r="V44" s="705" t="s">
        <v>14</v>
      </c>
      <c r="W44" s="706">
        <f t="shared" si="12"/>
        <v>100</v>
      </c>
      <c r="X44" s="1354"/>
      <c r="Y44" s="375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9"/>
      <c r="Q45" s="1351">
        <f t="shared" si="14"/>
        <v>111</v>
      </c>
      <c r="R45" s="708" t="s">
        <v>14</v>
      </c>
      <c r="S45" s="709">
        <f t="shared" si="10"/>
        <v>100</v>
      </c>
      <c r="T45" s="708" t="s">
        <v>14</v>
      </c>
      <c r="U45" s="709">
        <f t="shared" si="11"/>
        <v>100</v>
      </c>
      <c r="V45" s="708" t="s">
        <v>14</v>
      </c>
      <c r="W45" s="709">
        <f t="shared" si="12"/>
        <v>100</v>
      </c>
      <c r="X45" s="710"/>
      <c r="Y45" s="3759"/>
      <c r="Z45" s="711">
        <f t="shared" si="13"/>
        <v>111</v>
      </c>
      <c r="AA45" s="1352">
        <f t="shared" si="3"/>
        <v>1</v>
      </c>
      <c r="AB45" s="1352">
        <f t="shared" si="4"/>
        <v>1</v>
      </c>
      <c r="AC45" s="1352">
        <f t="shared" si="5"/>
        <v>1</v>
      </c>
    </row>
    <row r="46" spans="1:29" ht="15">
      <c r="A46" s="430" t="s">
        <v>1843</v>
      </c>
      <c r="B46" s="1981" t="s">
        <v>1878</v>
      </c>
      <c r="C46" s="630" t="s">
        <v>0</v>
      </c>
      <c r="D46" s="432"/>
      <c r="E46" s="433">
        <f>土地案例!N2</f>
        <v>20677</v>
      </c>
      <c r="F46" s="434"/>
      <c r="G46" s="435">
        <f>土地案例!N3</f>
        <v>20691</v>
      </c>
      <c r="H46" s="436"/>
      <c r="I46" s="433">
        <f>土地案例!N8</f>
        <v>31358</v>
      </c>
      <c r="J46" s="436"/>
      <c r="K46" s="714"/>
      <c r="L46" s="2723"/>
      <c r="M46" s="2724"/>
      <c r="N46" s="2715"/>
      <c r="O46" s="2724"/>
      <c r="P46" s="3752" t="str">
        <f>A46</f>
        <v>成交单价</v>
      </c>
      <c r="Q46" s="3752"/>
      <c r="R46" s="3747">
        <f>E46</f>
        <v>20677</v>
      </c>
      <c r="S46" s="3747"/>
      <c r="T46" s="3747">
        <f>G46</f>
        <v>20691</v>
      </c>
      <c r="U46" s="3747"/>
      <c r="V46" s="3747">
        <f>I46</f>
        <v>31358</v>
      </c>
      <c r="W46" s="3747"/>
      <c r="X46" s="690"/>
      <c r="Y46" s="712"/>
      <c r="Z46" s="690"/>
      <c r="AA46" s="690"/>
      <c r="AB46" s="690"/>
      <c r="AC46" s="690"/>
    </row>
    <row r="47" spans="1:29" ht="15.75" thickBot="1">
      <c r="A47" s="437" t="s">
        <v>1792</v>
      </c>
      <c r="B47" s="631"/>
      <c r="C47" s="440">
        <f>R48</f>
        <v>19868</v>
      </c>
      <c r="D47" s="2316" t="s">
        <v>2137</v>
      </c>
      <c r="E47" s="440">
        <f>R47</f>
        <v>18837</v>
      </c>
      <c r="F47" s="2317"/>
      <c r="G47" s="439">
        <f>T47</f>
        <v>19021</v>
      </c>
      <c r="H47" s="2317"/>
      <c r="I47" s="440">
        <f>V47</f>
        <v>21747</v>
      </c>
      <c r="J47" s="2317"/>
      <c r="K47" s="2319">
        <f>F47+H47+J47</f>
        <v>0</v>
      </c>
      <c r="L47" s="2723"/>
      <c r="M47" s="2724"/>
      <c r="N47" s="2724"/>
      <c r="O47" s="2724"/>
      <c r="P47" s="3752" t="str">
        <f>A47</f>
        <v>比较价值（元/平方米）</v>
      </c>
      <c r="Q47" s="3752"/>
      <c r="R47" s="3780">
        <f>ROUND(PRODUCT(R46,AA7:AA45),0)</f>
        <v>18837</v>
      </c>
      <c r="S47" s="3780"/>
      <c r="T47" s="3780">
        <f>ROUND(PRODUCT(T46,AB7:AB45),0)</f>
        <v>19021</v>
      </c>
      <c r="U47" s="3780"/>
      <c r="V47" s="3780">
        <f>ROUND(PRODUCT(V46,AC7:AC45),0)</f>
        <v>21747</v>
      </c>
      <c r="W47" s="3780"/>
      <c r="X47" s="690"/>
      <c r="Y47" s="690"/>
      <c r="Z47" s="690"/>
      <c r="AA47" s="690"/>
      <c r="AB47" s="690"/>
      <c r="AC47" s="690"/>
    </row>
    <row r="48" spans="1:29" ht="15.75" thickBot="1">
      <c r="A48" s="441" t="s">
        <v>1879</v>
      </c>
      <c r="B48" s="442"/>
      <c r="C48" s="443">
        <f>R48</f>
        <v>19868</v>
      </c>
      <c r="D48" s="443"/>
      <c r="E48" s="443"/>
      <c r="F48" s="443"/>
      <c r="G48" s="443"/>
      <c r="H48" s="443"/>
      <c r="I48" s="443"/>
      <c r="J48" s="443"/>
      <c r="K48" s="715"/>
      <c r="L48" s="2723"/>
      <c r="M48" s="2724"/>
      <c r="N48" s="2724"/>
      <c r="O48" s="2724"/>
      <c r="P48" s="3749" t="str">
        <f>A48</f>
        <v>估价对象XX用房的比较价值（楼面单价，元/平方米）</v>
      </c>
      <c r="Q48" s="3750"/>
      <c r="R48" s="3781">
        <f>ROUND(IF(D47="简单平均",AVERAGE(R47:W47),R47*F47+T47*H47+V47*J47),0)</f>
        <v>19868</v>
      </c>
      <c r="S48" s="3781"/>
      <c r="T48" s="3781"/>
      <c r="U48" s="3781"/>
      <c r="V48" s="3781"/>
      <c r="W48" s="378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9.7680097680097777E-2</v>
      </c>
      <c r="F51" s="449" t="str">
        <f>IF(OR(E51&gt;=0.3,E51&lt;=-0.3),"超过30%","")</f>
        <v/>
      </c>
      <c r="G51" s="448">
        <f>IF(G46&lt;G47,G47/G46-1,G46/G47-1)</f>
        <v>8.7797697281951637E-2</v>
      </c>
      <c r="H51" s="449" t="str">
        <f>IF(OR(G51&gt;=0.3,G51&lt;=-0.3),"超过30%","")</f>
        <v/>
      </c>
      <c r="I51" s="448">
        <f>IF(I46&lt;I47,I47/I46-1,I46/I47-1)</f>
        <v>0.44194601554237356</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9.7680097680097333E-3</v>
      </c>
      <c r="F52" s="449" t="str">
        <f>IF(OR(E52&gt;=0.2,E52&lt;=-0.2),"超过20%","")</f>
        <v/>
      </c>
      <c r="G52" s="448">
        <f>IF(G47&lt;I47,I47/G47-1,G47/I47-1)</f>
        <v>0.14331528310814368</v>
      </c>
      <c r="H52" s="449" t="str">
        <f>IF(OR(G52&gt;=0.2,G52&lt;=-0.2),"超过20%","")</f>
        <v/>
      </c>
      <c r="I52" s="448">
        <f>IF(I47&lt;E47,E47/I47-1,I47/E47-1)</f>
        <v>0.15448319796145893</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6.7708081443140777E-4</v>
      </c>
      <c r="F53" s="449" t="str">
        <f>IF(OR(E53&gt;=0.3,E53&lt;=-0.3),"超过30%","")</f>
        <v/>
      </c>
      <c r="G53" s="448">
        <f>IF(G46&lt;I46,I46/G46-1,G46/I46-1)</f>
        <v>0.51553815668648206</v>
      </c>
      <c r="H53" s="449" t="str">
        <f>IF(OR(G53&gt;=0.3,G53&lt;=-0.3),"超过30%","")</f>
        <v>超过30%</v>
      </c>
      <c r="I53" s="448">
        <f>IF(I46&lt;E46,E46/I46-1,I46/E46-1)</f>
        <v>0.51656429849591334</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35" t="s">
        <v>1886</v>
      </c>
      <c r="H55" s="3782"/>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19868</v>
      </c>
      <c r="C56" s="638">
        <v>1</v>
      </c>
      <c r="D56" s="944">
        <v>1</v>
      </c>
      <c r="E56" s="638">
        <f>'数据-汇总表'!E8+'数据-汇总表'!E9</f>
        <v>167395.91</v>
      </c>
      <c r="F56" s="886">
        <f t="shared" ref="F56:F64" si="15">ROUND(B56*E56/10000,0)</f>
        <v>332582</v>
      </c>
      <c r="G56" s="3734"/>
      <c r="H56" s="375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f>ROUND($C$48*C57*D57,0)</f>
        <v>2980</v>
      </c>
      <c r="C57" s="171">
        <f t="shared" ref="C57:C64" si="16">IF($C$55="北京市系数",I57,J57)</f>
        <v>0.6</v>
      </c>
      <c r="D57" s="945">
        <v>0.25</v>
      </c>
      <c r="E57" s="642"/>
      <c r="F57" s="886">
        <f t="shared" si="15"/>
        <v>0</v>
      </c>
      <c r="G57" s="3005" t="s">
        <v>1891</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f t="shared" ref="B58:B64" si="17">ROUND($C$48*C58*D58,0)</f>
        <v>1490</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f t="shared" si="17"/>
        <v>1242</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f t="shared" si="17"/>
        <v>1242</v>
      </c>
      <c r="C60" s="171">
        <f t="shared" si="16"/>
        <v>0.25</v>
      </c>
      <c r="D60" s="945">
        <v>0.25</v>
      </c>
      <c r="E60" s="217">
        <f>'数据-汇总表'!E11</f>
        <v>0</v>
      </c>
      <c r="F60" s="886">
        <f t="shared" si="15"/>
        <v>0</v>
      </c>
      <c r="G60" s="1986" t="s">
        <v>1895</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f t="shared" si="17"/>
        <v>1242</v>
      </c>
      <c r="C61" s="171">
        <f t="shared" si="16"/>
        <v>0.25</v>
      </c>
      <c r="D61" s="945">
        <v>0.25</v>
      </c>
      <c r="E61" s="217">
        <f>'数据-汇总表'!E12</f>
        <v>0</v>
      </c>
      <c r="F61" s="886">
        <f t="shared" si="15"/>
        <v>0</v>
      </c>
      <c r="G61" s="892" t="s">
        <v>673</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f t="shared" si="17"/>
        <v>745</v>
      </c>
      <c r="C62" s="171">
        <f t="shared" si="16"/>
        <v>0.15</v>
      </c>
      <c r="D62" s="945">
        <v>0.25</v>
      </c>
      <c r="E62" s="217">
        <f>'数据-汇总表'!E13</f>
        <v>18025.84</v>
      </c>
      <c r="F62" s="886">
        <f t="shared" si="15"/>
        <v>1343</v>
      </c>
      <c r="G62" s="892" t="s">
        <v>3574</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f t="shared" si="17"/>
        <v>745</v>
      </c>
      <c r="C63" s="171">
        <f t="shared" si="16"/>
        <v>0.15</v>
      </c>
      <c r="D63" s="945">
        <v>0.25</v>
      </c>
      <c r="E63" s="217">
        <f>'数据-汇总表'!E14</f>
        <v>0</v>
      </c>
      <c r="F63" s="886">
        <f t="shared" si="15"/>
        <v>0</v>
      </c>
      <c r="G63" s="1986" t="s">
        <v>1891</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f t="shared" si="17"/>
        <v>745</v>
      </c>
      <c r="C64" s="171">
        <f t="shared" si="16"/>
        <v>0.15</v>
      </c>
      <c r="D64" s="945">
        <v>0.25</v>
      </c>
      <c r="E64" s="217">
        <f>'数据-汇总表'!E15</f>
        <v>0</v>
      </c>
      <c r="F64" s="886">
        <f t="shared" si="15"/>
        <v>0</v>
      </c>
      <c r="G64" s="1987" t="s">
        <v>1895</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185421.75</v>
      </c>
      <c r="F65" s="645">
        <f>IF(B46="楼面地价",SUM(F56:F64),ROUND(C48*E65/10000,0))</f>
        <v>333925</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f>C70-0.3</f>
        <v>99.7</v>
      </c>
      <c r="E70" s="544">
        <f t="shared" ref="E70:O70" si="20">D70-0.3</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3497" t="s">
        <v>3576</v>
      </c>
      <c r="D74" s="3497" t="s">
        <v>3577</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115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90</v>
      </c>
      <c r="E90" s="493">
        <f>D90-$K17</f>
        <v>80</v>
      </c>
      <c r="F90" s="493">
        <f>E90-$K17</f>
        <v>70</v>
      </c>
      <c r="G90" s="493">
        <f>F90-$K17</f>
        <v>60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90</v>
      </c>
      <c r="E94" s="493">
        <f>D94-$K21</f>
        <v>80</v>
      </c>
      <c r="F94" s="493">
        <f>E94-$K21</f>
        <v>70</v>
      </c>
      <c r="G94" s="493">
        <f>F94-$K21</f>
        <v>60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90</v>
      </c>
      <c r="E100" s="493">
        <f>D100-$K27</f>
        <v>80</v>
      </c>
      <c r="F100" s="493">
        <f>E100-$K27</f>
        <v>70</v>
      </c>
      <c r="G100" s="493">
        <f>F100-$K27</f>
        <v>60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3496" t="s">
        <v>3583</v>
      </c>
      <c r="D105" s="3496" t="s">
        <v>3586</v>
      </c>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3">
        <f t="shared" si="24"/>
        <v>80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1693</v>
      </c>
      <c r="B115" s="477" t="s">
        <v>1912</v>
      </c>
      <c r="C115" s="478" t="str">
        <f>C116&amp;"(含)"&amp;"-"&amp;D116</f>
        <v>0(含)-30000</v>
      </c>
      <c r="D115" s="478" t="str">
        <f t="shared" ref="D115:M115" si="26">D116&amp;"(含)"&amp;"-"&amp;E116</f>
        <v>30000(含)-60000</v>
      </c>
      <c r="E115" s="478" t="str">
        <f t="shared" si="26"/>
        <v>60000(含)-90000</v>
      </c>
      <c r="F115" s="478" t="str">
        <f t="shared" si="26"/>
        <v>90000(含)-120000</v>
      </c>
      <c r="G115" s="478" t="str">
        <f t="shared" si="26"/>
        <v>120000(含)-150000</v>
      </c>
      <c r="H115" s="478" t="str">
        <f t="shared" si="26"/>
        <v>150000(含)-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90000</v>
      </c>
      <c r="G116" s="544">
        <v>120000</v>
      </c>
      <c r="H116" s="544">
        <v>150000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v>97</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3496" t="s">
        <v>3566</v>
      </c>
      <c r="D122" s="3496" t="s">
        <v>3568</v>
      </c>
      <c r="E122" s="3496" t="s">
        <v>3570</v>
      </c>
      <c r="F122" s="3496" t="s">
        <v>3572</v>
      </c>
      <c r="G122" s="3496" t="s">
        <v>3573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22" t="s">
        <v>1770</v>
      </c>
      <c r="S4" s="3723"/>
      <c r="T4" s="3722" t="s">
        <v>1771</v>
      </c>
      <c r="U4" s="3723"/>
      <c r="V4" s="3747" t="s">
        <v>1772</v>
      </c>
      <c r="W4" s="3747"/>
      <c r="X4" s="1354"/>
      <c r="Y4" s="3722" t="s">
        <v>1774</v>
      </c>
      <c r="Z4" s="3723"/>
      <c r="AA4" s="3717" t="s">
        <v>1770</v>
      </c>
      <c r="AB4" s="3718" t="s">
        <v>1771</v>
      </c>
      <c r="AC4" s="3717" t="s">
        <v>1772</v>
      </c>
    </row>
    <row r="5" spans="1:29" ht="15">
      <c r="A5" s="358"/>
      <c r="B5" s="359"/>
      <c r="C5" s="3728" t="s">
        <v>1672</v>
      </c>
      <c r="D5" s="3729"/>
      <c r="E5" s="3726" t="s">
        <v>1673</v>
      </c>
      <c r="F5" s="3727"/>
      <c r="G5" s="3728" t="s">
        <v>1674</v>
      </c>
      <c r="H5" s="3729"/>
      <c r="I5" s="3728" t="s">
        <v>1675</v>
      </c>
      <c r="J5" s="3729"/>
      <c r="K5" s="559"/>
      <c r="L5" s="2714"/>
      <c r="M5" s="2715"/>
      <c r="N5" s="2715"/>
      <c r="O5" s="2715"/>
      <c r="P5" s="3741"/>
      <c r="Q5" s="3742"/>
      <c r="R5" s="3724"/>
      <c r="S5" s="3725"/>
      <c r="T5" s="3724"/>
      <c r="U5" s="3725"/>
      <c r="V5" s="3747"/>
      <c r="W5" s="3747"/>
      <c r="X5" s="1354"/>
      <c r="Y5" s="3724"/>
      <c r="Z5" s="3725"/>
      <c r="AA5" s="3718"/>
      <c r="AB5" s="3718"/>
      <c r="AC5" s="3718"/>
    </row>
    <row r="6" spans="1:29" ht="15.75" thickBot="1">
      <c r="A6" s="360"/>
      <c r="B6" s="361"/>
      <c r="C6" s="3783" t="s">
        <v>1918</v>
      </c>
      <c r="D6" s="3784"/>
      <c r="E6" s="3785" t="s">
        <v>1918</v>
      </c>
      <c r="F6" s="3786"/>
      <c r="G6" s="3783" t="s">
        <v>1918</v>
      </c>
      <c r="H6" s="3784"/>
      <c r="I6" s="3783" t="s">
        <v>1918</v>
      </c>
      <c r="J6" s="3784"/>
      <c r="K6" s="559" t="s">
        <v>1677</v>
      </c>
      <c r="L6" s="2714"/>
      <c r="M6" s="2715"/>
      <c r="N6" s="2715"/>
      <c r="O6" s="2715"/>
      <c r="P6" s="3743"/>
      <c r="Q6" s="3744"/>
      <c r="R6" s="3724"/>
      <c r="S6" s="3725"/>
      <c r="T6" s="3745"/>
      <c r="U6" s="3746"/>
      <c r="V6" s="3747"/>
      <c r="W6" s="3747"/>
      <c r="X6" s="1354"/>
      <c r="Y6" s="3745"/>
      <c r="Z6" s="3746"/>
      <c r="AA6" s="3719"/>
      <c r="AB6" s="3719"/>
      <c r="AC6" s="3719"/>
    </row>
    <row r="7" spans="1:29" s="108" customFormat="1" ht="15.75" thickBot="1">
      <c r="A7" s="362" t="s">
        <v>1678</v>
      </c>
      <c r="B7" s="363"/>
      <c r="C7" s="364">
        <f>'数据-取费表'!B2</f>
        <v>45182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0" t="s">
        <v>1679</v>
      </c>
      <c r="Q7" s="3748"/>
      <c r="R7" s="701" t="s">
        <v>14</v>
      </c>
      <c r="S7" s="702">
        <f t="shared" ref="S7:S15" si="0">F7</f>
        <v>0</v>
      </c>
      <c r="T7" s="701" t="s">
        <v>14</v>
      </c>
      <c r="U7" s="702">
        <f t="shared" ref="U7:U15" si="1">H7</f>
        <v>0</v>
      </c>
      <c r="V7" s="701" t="s">
        <v>14</v>
      </c>
      <c r="W7" s="702">
        <f t="shared" ref="W7:W15" si="2">J7</f>
        <v>0</v>
      </c>
      <c r="X7" s="703"/>
      <c r="Y7" s="3720" t="s">
        <v>1679</v>
      </c>
      <c r="Z7" s="372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1682</v>
      </c>
      <c r="Q8" s="3721"/>
      <c r="R8" s="701" t="s">
        <v>14</v>
      </c>
      <c r="S8" s="702">
        <f t="shared" si="0"/>
        <v>0</v>
      </c>
      <c r="T8" s="701" t="s">
        <v>14</v>
      </c>
      <c r="U8" s="702">
        <f t="shared" si="1"/>
        <v>0</v>
      </c>
      <c r="V8" s="701" t="s">
        <v>14</v>
      </c>
      <c r="W8" s="702">
        <f t="shared" si="2"/>
        <v>0</v>
      </c>
      <c r="X8" s="703"/>
      <c r="Y8" s="3720" t="s">
        <v>1682</v>
      </c>
      <c r="Z8" s="3721"/>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2"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752"/>
      <c r="Q10" s="1342" t="str">
        <f t="shared" si="6"/>
        <v>土地使用年限（年）</v>
      </c>
      <c r="R10" s="701" t="s">
        <v>14</v>
      </c>
      <c r="S10" s="702">
        <f t="shared" si="0"/>
        <v>131</v>
      </c>
      <c r="T10" s="701" t="s">
        <v>14</v>
      </c>
      <c r="U10" s="702">
        <f t="shared" si="1"/>
        <v>131</v>
      </c>
      <c r="V10" s="701" t="s">
        <v>14</v>
      </c>
      <c r="W10" s="702">
        <f t="shared" si="2"/>
        <v>131</v>
      </c>
      <c r="X10" s="703"/>
      <c r="Y10" s="3664"/>
      <c r="Z10" s="52" t="str">
        <f t="shared" si="7"/>
        <v>土地使用年限（年）</v>
      </c>
      <c r="AA10" s="704">
        <f t="shared" si="3"/>
        <v>0.76335877862595425</v>
      </c>
      <c r="AB10" s="704">
        <f t="shared" si="4"/>
        <v>0.76335877862595425</v>
      </c>
      <c r="AC10" s="704">
        <f t="shared" si="5"/>
        <v>0.76335877862595425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2"/>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2"/>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2"/>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2"/>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4" t="s">
        <v>1690</v>
      </c>
      <c r="Q15" s="1351" t="str">
        <f t="shared" si="6"/>
        <v>产业集聚程度</v>
      </c>
      <c r="R15" s="705" t="s">
        <v>14</v>
      </c>
      <c r="S15" s="706">
        <f t="shared" si="0"/>
        <v>100</v>
      </c>
      <c r="T15" s="705" t="s">
        <v>14</v>
      </c>
      <c r="U15" s="706">
        <f t="shared" si="1"/>
        <v>100</v>
      </c>
      <c r="V15" s="705" t="s">
        <v>14</v>
      </c>
      <c r="W15" s="706">
        <f t="shared" si="2"/>
        <v>100</v>
      </c>
      <c r="X15" s="1354"/>
      <c r="Y15" s="3754"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55"/>
      <c r="Q16" s="1351"/>
      <c r="R16" s="705"/>
      <c r="S16" s="706"/>
      <c r="T16" s="705"/>
      <c r="U16" s="706"/>
      <c r="V16" s="705"/>
      <c r="W16" s="706"/>
      <c r="X16" s="1354"/>
      <c r="Y16" s="3755"/>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5"/>
      <c r="Q17" s="1351" t="str">
        <f>B17</f>
        <v>交通便捷度</v>
      </c>
      <c r="R17" s="705" t="s">
        <v>14</v>
      </c>
      <c r="S17" s="706">
        <f>F17</f>
        <v>100</v>
      </c>
      <c r="T17" s="705" t="s">
        <v>14</v>
      </c>
      <c r="U17" s="706">
        <f>H17</f>
        <v>100</v>
      </c>
      <c r="V17" s="705" t="s">
        <v>14</v>
      </c>
      <c r="W17" s="706">
        <f>J17</f>
        <v>100</v>
      </c>
      <c r="X17" s="1354"/>
      <c r="Y17" s="375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55"/>
      <c r="Q18" s="1351"/>
      <c r="R18" s="705"/>
      <c r="S18" s="706"/>
      <c r="T18" s="705"/>
      <c r="U18" s="706"/>
      <c r="V18" s="705"/>
      <c r="W18" s="706"/>
      <c r="X18" s="1354"/>
      <c r="Y18" s="3755"/>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5"/>
      <c r="Q19" s="1351" t="str">
        <f t="shared" ref="Q19:Q33" si="8">B19</f>
        <v>区域土地利用方向</v>
      </c>
      <c r="R19" s="705" t="s">
        <v>14</v>
      </c>
      <c r="S19" s="706">
        <f>F19</f>
        <v>100</v>
      </c>
      <c r="T19" s="705" t="s">
        <v>14</v>
      </c>
      <c r="U19" s="706">
        <f>H19</f>
        <v>100</v>
      </c>
      <c r="V19" s="705" t="s">
        <v>14</v>
      </c>
      <c r="W19" s="706">
        <f>J19</f>
        <v>100</v>
      </c>
      <c r="X19" s="1354"/>
      <c r="Y19" s="375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55"/>
      <c r="Q20" s="1351"/>
      <c r="R20" s="705"/>
      <c r="S20" s="706"/>
      <c r="T20" s="705"/>
      <c r="U20" s="706"/>
      <c r="V20" s="705"/>
      <c r="W20" s="706"/>
      <c r="X20" s="1354"/>
      <c r="Y20" s="3755"/>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5"/>
      <c r="Q21" s="1351" t="str">
        <f t="shared" si="8"/>
        <v>环境状况</v>
      </c>
      <c r="R21" s="705" t="s">
        <v>14</v>
      </c>
      <c r="S21" s="706">
        <f>F21</f>
        <v>100</v>
      </c>
      <c r="T21" s="705" t="s">
        <v>14</v>
      </c>
      <c r="U21" s="706">
        <f>H21</f>
        <v>100</v>
      </c>
      <c r="V21" s="705" t="s">
        <v>14</v>
      </c>
      <c r="W21" s="706">
        <f>J21</f>
        <v>100</v>
      </c>
      <c r="X21" s="1354"/>
      <c r="Y21" s="375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55"/>
      <c r="Q22" s="1351"/>
      <c r="R22" s="705"/>
      <c r="S22" s="706"/>
      <c r="T22" s="705"/>
      <c r="U22" s="706"/>
      <c r="V22" s="705"/>
      <c r="W22" s="706"/>
      <c r="X22" s="1354"/>
      <c r="Y22" s="3755"/>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5"/>
      <c r="Q23" s="1342" t="str">
        <f t="shared" si="8"/>
        <v>公共配套设施</v>
      </c>
      <c r="R23" s="701" t="s">
        <v>14</v>
      </c>
      <c r="S23" s="702">
        <f>F23</f>
        <v>100</v>
      </c>
      <c r="T23" s="701" t="s">
        <v>14</v>
      </c>
      <c r="U23" s="702">
        <f>H23</f>
        <v>100</v>
      </c>
      <c r="V23" s="701" t="s">
        <v>14</v>
      </c>
      <c r="W23" s="702">
        <f>J23</f>
        <v>100</v>
      </c>
      <c r="X23" s="703"/>
      <c r="Y23" s="375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55"/>
      <c r="Q24" s="1342"/>
      <c r="R24" s="701"/>
      <c r="S24" s="702"/>
      <c r="T24" s="701"/>
      <c r="U24" s="702"/>
      <c r="V24" s="701"/>
      <c r="W24" s="702"/>
      <c r="X24" s="703"/>
      <c r="Y24" s="3755"/>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5"/>
      <c r="Q25" s="1342" t="str">
        <f t="shared" ref="Q25" si="9">B25</f>
        <v>基础设施水平</v>
      </c>
      <c r="R25" s="701" t="s">
        <v>14</v>
      </c>
      <c r="S25" s="702">
        <f>F25</f>
        <v>100</v>
      </c>
      <c r="T25" s="701" t="s">
        <v>14</v>
      </c>
      <c r="U25" s="702">
        <f>H25</f>
        <v>100</v>
      </c>
      <c r="V25" s="701" t="s">
        <v>14</v>
      </c>
      <c r="W25" s="702">
        <f>J25</f>
        <v>100</v>
      </c>
      <c r="X25" s="703"/>
      <c r="Y25" s="375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55"/>
      <c r="Q26" s="1342"/>
      <c r="R26" s="701"/>
      <c r="S26" s="702"/>
      <c r="T26" s="701"/>
      <c r="U26" s="702"/>
      <c r="V26" s="701"/>
      <c r="W26" s="702"/>
      <c r="X26" s="703"/>
      <c r="Y26" s="375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5"/>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5"/>
      <c r="Q28" s="1351" t="str">
        <f t="shared" si="8"/>
        <v>毗邻道路的类型与等级</v>
      </c>
      <c r="R28" s="705" t="s">
        <v>14</v>
      </c>
      <c r="S28" s="706">
        <f t="shared" si="10"/>
        <v>100</v>
      </c>
      <c r="T28" s="705" t="s">
        <v>14</v>
      </c>
      <c r="U28" s="706">
        <f t="shared" si="11"/>
        <v>100</v>
      </c>
      <c r="V28" s="705" t="s">
        <v>14</v>
      </c>
      <c r="W28" s="706">
        <f t="shared" si="12"/>
        <v>100</v>
      </c>
      <c r="X28" s="1354"/>
      <c r="Y28" s="375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55"/>
      <c r="Q29" s="1351"/>
      <c r="R29" s="705"/>
      <c r="S29" s="706"/>
      <c r="T29" s="705"/>
      <c r="U29" s="706"/>
      <c r="V29" s="705"/>
      <c r="W29" s="706"/>
      <c r="X29" s="1354"/>
      <c r="Y29" s="3755"/>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5"/>
      <c r="Q30" s="1351" t="str">
        <f t="shared" si="8"/>
        <v>土地级别</v>
      </c>
      <c r="R30" s="705" t="s">
        <v>14</v>
      </c>
      <c r="S30" s="706">
        <f t="shared" si="10"/>
        <v>100</v>
      </c>
      <c r="T30" s="705" t="s">
        <v>14</v>
      </c>
      <c r="U30" s="706">
        <f t="shared" si="11"/>
        <v>100</v>
      </c>
      <c r="V30" s="705" t="s">
        <v>14</v>
      </c>
      <c r="W30" s="706">
        <f t="shared" si="12"/>
        <v>100</v>
      </c>
      <c r="X30" s="1354"/>
      <c r="Y30" s="375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5"/>
      <c r="Q31" s="1351">
        <f t="shared" si="8"/>
        <v>111</v>
      </c>
      <c r="R31" s="705" t="s">
        <v>14</v>
      </c>
      <c r="S31" s="706">
        <f t="shared" si="10"/>
        <v>100</v>
      </c>
      <c r="T31" s="705" t="s">
        <v>14</v>
      </c>
      <c r="U31" s="706">
        <f t="shared" si="11"/>
        <v>100</v>
      </c>
      <c r="V31" s="705" t="s">
        <v>14</v>
      </c>
      <c r="W31" s="706">
        <f t="shared" si="12"/>
        <v>100</v>
      </c>
      <c r="X31" s="1354"/>
      <c r="Y31" s="375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8" t="s">
        <v>1695</v>
      </c>
      <c r="Q32" s="1351">
        <f t="shared" si="8"/>
        <v>111</v>
      </c>
      <c r="R32" s="705" t="s">
        <v>14</v>
      </c>
      <c r="S32" s="706">
        <f t="shared" si="10"/>
        <v>100</v>
      </c>
      <c r="T32" s="705" t="s">
        <v>14</v>
      </c>
      <c r="U32" s="706">
        <f t="shared" si="11"/>
        <v>100</v>
      </c>
      <c r="V32" s="705" t="s">
        <v>14</v>
      </c>
      <c r="W32" s="706">
        <f t="shared" si="12"/>
        <v>100</v>
      </c>
      <c r="X32" s="1354"/>
      <c r="Y32" s="3759"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9"/>
      <c r="Q33" s="1351">
        <f t="shared" si="8"/>
        <v>111</v>
      </c>
      <c r="R33" s="708" t="s">
        <v>14</v>
      </c>
      <c r="S33" s="709">
        <f t="shared" si="10"/>
        <v>100</v>
      </c>
      <c r="T33" s="708" t="s">
        <v>14</v>
      </c>
      <c r="U33" s="709">
        <f t="shared" si="11"/>
        <v>100</v>
      </c>
      <c r="V33" s="708" t="s">
        <v>14</v>
      </c>
      <c r="W33" s="709">
        <f t="shared" si="12"/>
        <v>100</v>
      </c>
      <c r="X33" s="710"/>
      <c r="Y33" s="3759"/>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9"/>
      <c r="Q34" s="1351" t="str">
        <f>B34</f>
        <v>宗地面积</v>
      </c>
      <c r="R34" s="705" t="s">
        <v>14</v>
      </c>
      <c r="S34" s="706" t="e">
        <f t="shared" si="10"/>
        <v>#N/A</v>
      </c>
      <c r="T34" s="705" t="s">
        <v>14</v>
      </c>
      <c r="U34" s="706" t="e">
        <f t="shared" si="11"/>
        <v>#N/A</v>
      </c>
      <c r="V34" s="705" t="s">
        <v>14</v>
      </c>
      <c r="W34" s="706" t="e">
        <f t="shared" si="12"/>
        <v>#N/A</v>
      </c>
      <c r="X34" s="1354"/>
      <c r="Y34" s="3759"/>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59"/>
      <c r="Q35" s="1351" t="str">
        <f t="shared" ref="Q35:Q40" si="14">B35</f>
        <v>宗地形状</v>
      </c>
      <c r="R35" s="705" t="s">
        <v>14</v>
      </c>
      <c r="S35" s="706">
        <f t="shared" si="10"/>
        <v>100</v>
      </c>
      <c r="T35" s="705" t="s">
        <v>14</v>
      </c>
      <c r="U35" s="706">
        <f t="shared" si="11"/>
        <v>100</v>
      </c>
      <c r="V35" s="705" t="s">
        <v>14</v>
      </c>
      <c r="W35" s="706">
        <f t="shared" si="12"/>
        <v>100</v>
      </c>
      <c r="X35" s="1354"/>
      <c r="Y35" s="3759"/>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9"/>
      <c r="Q36" s="1351"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59" t="s">
        <v>1695</v>
      </c>
      <c r="Q37" s="1351" t="str">
        <f t="shared" si="14"/>
        <v>工程地质条件</v>
      </c>
      <c r="R37" s="705" t="s">
        <v>14</v>
      </c>
      <c r="S37" s="706">
        <f t="shared" si="10"/>
        <v>100</v>
      </c>
      <c r="T37" s="705" t="s">
        <v>14</v>
      </c>
      <c r="U37" s="706">
        <f t="shared" si="11"/>
        <v>100</v>
      </c>
      <c r="V37" s="705" t="s">
        <v>14</v>
      </c>
      <c r="W37" s="706">
        <f t="shared" si="12"/>
        <v>100</v>
      </c>
      <c r="X37" s="1354"/>
      <c r="Y37" s="3759"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9"/>
      <c r="Q38" s="1351">
        <f t="shared" si="14"/>
        <v>111</v>
      </c>
      <c r="R38" s="705" t="s">
        <v>14</v>
      </c>
      <c r="S38" s="706">
        <f t="shared" si="10"/>
        <v>100</v>
      </c>
      <c r="T38" s="705" t="s">
        <v>14</v>
      </c>
      <c r="U38" s="706">
        <f t="shared" si="11"/>
        <v>100</v>
      </c>
      <c r="V38" s="705" t="s">
        <v>14</v>
      </c>
      <c r="W38" s="706">
        <f t="shared" si="12"/>
        <v>100</v>
      </c>
      <c r="X38" s="1354"/>
      <c r="Y38" s="375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9"/>
      <c r="Q39" s="1351">
        <f t="shared" si="14"/>
        <v>111</v>
      </c>
      <c r="R39" s="705" t="s">
        <v>14</v>
      </c>
      <c r="S39" s="706">
        <f t="shared" si="10"/>
        <v>100</v>
      </c>
      <c r="T39" s="705" t="s">
        <v>14</v>
      </c>
      <c r="U39" s="706">
        <f t="shared" si="11"/>
        <v>100</v>
      </c>
      <c r="V39" s="705" t="s">
        <v>14</v>
      </c>
      <c r="W39" s="706">
        <f t="shared" si="12"/>
        <v>100</v>
      </c>
      <c r="X39" s="1354"/>
      <c r="Y39" s="375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9"/>
      <c r="Q40" s="1351">
        <f t="shared" si="14"/>
        <v>111</v>
      </c>
      <c r="R40" s="708" t="s">
        <v>14</v>
      </c>
      <c r="S40" s="709">
        <f t="shared" si="10"/>
        <v>100</v>
      </c>
      <c r="T40" s="708" t="s">
        <v>14</v>
      </c>
      <c r="U40" s="709">
        <f t="shared" si="11"/>
        <v>100</v>
      </c>
      <c r="V40" s="708" t="s">
        <v>14</v>
      </c>
      <c r="W40" s="709">
        <f t="shared" si="12"/>
        <v>100</v>
      </c>
      <c r="X40" s="710"/>
      <c r="Y40" s="3759"/>
      <c r="Z40" s="711">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4"/>
      <c r="L41" s="2723"/>
      <c r="M41" s="2715"/>
      <c r="N41" s="2715"/>
      <c r="O41" s="2724"/>
      <c r="P41" s="3752" t="str">
        <f>A41</f>
        <v>成交单价</v>
      </c>
      <c r="Q41" s="3752"/>
      <c r="R41" s="3747">
        <f>E41</f>
        <v>0</v>
      </c>
      <c r="S41" s="3747"/>
      <c r="T41" s="3747">
        <f>G41</f>
        <v>0</v>
      </c>
      <c r="U41" s="3747"/>
      <c r="V41" s="3747">
        <f>I41</f>
        <v>0</v>
      </c>
      <c r="W41" s="3747"/>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52" t="str">
        <f>A42</f>
        <v>比较价值（元/平方米）</v>
      </c>
      <c r="Q42" s="3752"/>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49" t="str">
        <f>A43</f>
        <v>估价对象XX用房的比较价值（楼面单价，元/平方米）</v>
      </c>
      <c r="Q43" s="3750"/>
      <c r="R43" s="3781" t="e">
        <f>ROUND(IF(D42="简单平均",AVERAGE(R42:W42),R42*F42+T42*H42+V42*J42),0)</f>
        <v>#DIV/0!</v>
      </c>
      <c r="S43" s="3781"/>
      <c r="T43" s="3781"/>
      <c r="U43" s="3781"/>
      <c r="V43" s="3781"/>
      <c r="W43" s="378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35" t="s">
        <v>1886</v>
      </c>
      <c r="H50" s="3782"/>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167395.91</v>
      </c>
      <c r="F51" s="639" t="e">
        <f t="shared" ref="F51:F60" si="15">ROUND(B51*E51/10000,0)</f>
        <v>#DIV/0!</v>
      </c>
      <c r="G51" s="3734"/>
      <c r="H51" s="375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0.6</v>
      </c>
      <c r="D52" s="945">
        <v>0.25</v>
      </c>
      <c r="E52" s="642"/>
      <c r="F52" s="639" t="e">
        <f t="shared" si="15"/>
        <v>#DIV/0!</v>
      </c>
      <c r="G52" s="3005" t="s">
        <v>1891</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0.25</v>
      </c>
      <c r="D56" s="945">
        <v>0.25</v>
      </c>
      <c r="E56" s="217">
        <f>'数据-汇总表'!E11</f>
        <v>0</v>
      </c>
      <c r="F56" s="639" t="e">
        <f t="shared" si="15"/>
        <v>#DIV/0!</v>
      </c>
      <c r="G56" s="1986" t="s">
        <v>1895</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18025.84</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0.15</v>
      </c>
      <c r="D59" s="945">
        <v>0.25</v>
      </c>
      <c r="E59" s="217">
        <f>'数据-汇总表'!E14</f>
        <v>0</v>
      </c>
      <c r="F59" s="639" t="e">
        <f t="shared" si="15"/>
        <v>#DIV/0!</v>
      </c>
      <c r="G59" s="1986" t="s">
        <v>1891</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0.15</v>
      </c>
      <c r="D60" s="945">
        <v>0.25</v>
      </c>
      <c r="E60" s="217">
        <f>'数据-汇总表'!E15</f>
        <v>0</v>
      </c>
      <c r="F60" s="639" t="e">
        <f t="shared" si="15"/>
        <v>#DIV/0!</v>
      </c>
      <c r="G60" s="1987" t="s">
        <v>1895</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50687.57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268759</v>
      </c>
      <c r="C2" s="2144" t="s">
        <v>2073</v>
      </c>
      <c r="D2" s="2144" t="s">
        <v>2074</v>
      </c>
      <c r="E2" s="2611">
        <f ca="1">SUMIF(E6:E13,"&lt;&gt;#ref!",E6:E13)</f>
        <v>164135.97</v>
      </c>
      <c r="F2" s="2792"/>
      <c r="G2" s="2792"/>
      <c r="H2" s="2792"/>
      <c r="I2" s="2792"/>
      <c r="J2" s="2792"/>
      <c r="K2" s="2792"/>
      <c r="L2" s="2792"/>
      <c r="M2" s="2792"/>
      <c r="N2" s="2792"/>
      <c r="O2" s="2792"/>
      <c r="P2" s="2792"/>
    </row>
    <row r="3" spans="1:16" ht="15.75">
      <c r="A3" s="2144" t="s">
        <v>2075</v>
      </c>
      <c r="B3" s="2601">
        <f ca="1">ROUND(B2*10000/E2,0)</f>
        <v>16374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268759</v>
      </c>
      <c r="C6" s="2144" t="s">
        <v>2073</v>
      </c>
      <c r="D6" s="2792"/>
      <c r="E6" s="2611">
        <f ca="1">SUMIF(INDIRECT("'"&amp;A6&amp;"'"&amp;"!C:C"),"建筑面积",INDIRECT("'"&amp;A6&amp;"'"&amp;"!D:D"))</f>
        <v>164135.97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7" activeCellId="1" sqref="V2:V7 E37:E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164135.97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268759</v>
      </c>
      <c r="C2" s="1998" t="s">
        <v>1934</v>
      </c>
      <c r="D2" s="1999" t="s">
        <v>1935</v>
      </c>
      <c r="E2" s="3421" t="s">
        <v>673</v>
      </c>
      <c r="F2" s="1999" t="s">
        <v>1936</v>
      </c>
      <c r="G2" s="2000" t="str">
        <f>IF(E2="商业",项目基本情况!B37,IF(E2="办公",项目基本情况!C37,IF(E2="住宅",项目基本情况!D37,IF(E2="工业",项目基本情况!E37,项目基本情况!F37))))</f>
        <v>四级</v>
      </c>
      <c r="H2" s="1999" t="s">
        <v>1937</v>
      </c>
      <c r="I2" s="2000" t="str">
        <f>IF(E2="商业",项目基本情况!B38,IF(E2="办公",项目基本情况!C38,IF(E2="住宅",项目基本情况!D38,IF(E2="工业",项目基本情况!E38,项目基本情况!F38))))</f>
        <v>Ⅳ-04</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26718</v>
      </c>
      <c r="U2" s="3490">
        <f>分层面积!F9+分层面积!G9</f>
        <v>25316.690000000002</v>
      </c>
      <c r="V2" s="3360">
        <f>ROUND(T2*U2/10000,0)</f>
        <v>67641</v>
      </c>
      <c r="W2" s="1215"/>
      <c r="X2" s="1215"/>
      <c r="Y2" s="1215"/>
      <c r="Z2" s="1215"/>
      <c r="AA2" s="1215"/>
      <c r="AB2" s="1215"/>
      <c r="AC2" s="1216"/>
      <c r="AD2" s="1217"/>
      <c r="AE2" s="1217"/>
      <c r="AF2" s="1217"/>
      <c r="AG2" s="1217"/>
      <c r="AH2" s="1217"/>
      <c r="AI2" s="1217"/>
      <c r="AJ2" s="1218"/>
    </row>
    <row r="3" spans="1:36" ht="15.75">
      <c r="A3" s="203" t="s">
        <v>1939</v>
      </c>
      <c r="B3" s="204">
        <f>ROUND(B2*10000/D1,0)</f>
        <v>16374</v>
      </c>
      <c r="C3" s="1998" t="s">
        <v>1940</v>
      </c>
      <c r="D3" s="1999" t="s">
        <v>1941</v>
      </c>
      <c r="E3" s="3419" t="s">
        <v>2442</v>
      </c>
      <c r="F3" s="2003" t="s">
        <v>3447</v>
      </c>
      <c r="G3" s="752">
        <f>IF(F3="宗地容积率",'数据-汇总表'!I4,IF(F3="估价对象容积率",'数据-汇总表'!I6,'数据-汇总表'!I7))</f>
        <v>3.23</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21059</v>
      </c>
      <c r="U3" s="3490">
        <f>分层面积!F12+分层面积!G12</f>
        <v>21328.23</v>
      </c>
      <c r="V3" s="3360">
        <f t="shared" ref="V3:V16" si="1">ROUND(T3*U3/10000,0)</f>
        <v>44915</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1945</v>
      </c>
      <c r="M4" s="864">
        <f>SUMPRODUCT((区片价!B55:B86=I2)*(区片价!C3:G3=E2)*(区片价!C55:G86))</f>
        <v>21460</v>
      </c>
      <c r="N4" s="866">
        <f>SUMPRODUCT((因素修正幅度!B55:B86=I2)*(因素修正幅度!C3:G3=E2)*(因素修正幅度!C55:G86))</f>
        <v>9.8000000000000004E-2</v>
      </c>
      <c r="O4" s="1119"/>
      <c r="P4" s="1119"/>
      <c r="Q4" s="1119"/>
      <c r="R4" s="1211">
        <v>3</v>
      </c>
      <c r="S4" s="3360">
        <f>ROUND(SUMPRODUCT((B106:B110=R4)*(C105:N105=G2)*(C106:N110)),4)</f>
        <v>1.0004999999999999</v>
      </c>
      <c r="T4" s="3360">
        <f t="shared" si="0"/>
        <v>17799</v>
      </c>
      <c r="U4" s="3490">
        <f>分层面积!F15+分层面积!G15</f>
        <v>21312.77</v>
      </c>
      <c r="V4" s="3360">
        <f t="shared" si="1"/>
        <v>37935</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21440</v>
      </c>
      <c r="D5" s="1338">
        <f>ROUND(C6*C17+C20,0)</f>
        <v>21440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15698</v>
      </c>
      <c r="U5" s="3490">
        <f>分层面积!F18+分层面积!G18</f>
        <v>21312.77</v>
      </c>
      <c r="V5" s="3360">
        <f t="shared" si="1"/>
        <v>33457</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21460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15086</v>
      </c>
      <c r="U6" s="3490">
        <f>分层面积!F21+分层面积!G21+分层面积!F22+分层面积!G22</f>
        <v>30535.25</v>
      </c>
      <c r="V6" s="3360">
        <f t="shared" si="1"/>
        <v>46065</v>
      </c>
      <c r="W6" s="1215"/>
      <c r="X6" s="1215"/>
      <c r="Y6" s="1215"/>
      <c r="Z6" s="1215"/>
      <c r="AA6" s="1215"/>
      <c r="AB6" s="1215"/>
      <c r="AC6" s="2010"/>
      <c r="AD6" s="2011"/>
      <c r="AE6" s="2011"/>
      <c r="AF6" s="2011"/>
      <c r="AG6" s="2011"/>
      <c r="AH6" s="2011"/>
      <c r="AI6" s="2011"/>
      <c r="AJ6" s="2012"/>
    </row>
    <row r="7" spans="1:36" ht="24.75" thickBot="1">
      <c r="A7" s="3303" t="s">
        <v>3242</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v>0.83850000000000002</v>
      </c>
      <c r="T7" s="3360">
        <f t="shared" si="0"/>
        <v>14917</v>
      </c>
      <c r="U7" s="3490">
        <f>分层面积!F23+分层面积!G23+分层面积!F24+分层面积!G24</f>
        <v>12198.58</v>
      </c>
      <c r="V7" s="3360">
        <f t="shared" si="1"/>
        <v>18197</v>
      </c>
      <c r="W7" s="1357" t="s">
        <v>1954</v>
      </c>
      <c r="X7" s="1213" t="str">
        <f>G2</f>
        <v>四级</v>
      </c>
      <c r="Y7" s="1213" t="s">
        <v>1955</v>
      </c>
      <c r="Z7" s="1214">
        <f>G3</f>
        <v>3.23</v>
      </c>
      <c r="AA7" s="1215"/>
      <c r="AB7" s="1215"/>
      <c r="AC7" s="1216"/>
      <c r="AD7" s="1217"/>
      <c r="AE7" s="1217"/>
      <c r="AF7" s="1217"/>
      <c r="AG7" s="1217"/>
      <c r="AH7" s="1217"/>
      <c r="AI7" s="1217"/>
      <c r="AJ7" s="1218"/>
    </row>
    <row r="8" spans="1:36" ht="25.5">
      <c r="A8" s="3298"/>
      <c r="B8" s="170" t="s">
        <v>1956</v>
      </c>
      <c r="C8" s="2025" t="s">
        <v>3448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3248</v>
      </c>
      <c r="G14" s="3311" t="s">
        <v>3248</v>
      </c>
      <c r="H14" s="3311" t="s">
        <v>3248</v>
      </c>
      <c r="I14" s="3311" t="s">
        <v>3248</v>
      </c>
      <c r="J14" s="3311" t="s">
        <v>3248</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3259</v>
      </c>
      <c r="B20" s="167" t="s">
        <v>1993</v>
      </c>
      <c r="C20" s="3324">
        <f>ROUND(IF(F21="与级别开发程度一致",0,(G21-E21)/C21),0)</f>
        <v>-20</v>
      </c>
      <c r="D20" s="3340" t="s">
        <v>1997</v>
      </c>
      <c r="E20" s="3341"/>
      <c r="F20" s="3810" t="s">
        <v>1994</v>
      </c>
      <c r="G20" s="3811"/>
      <c r="H20" s="3325" t="s">
        <v>3449</v>
      </c>
      <c r="I20" s="3325" t="s">
        <v>3450</v>
      </c>
      <c r="J20" s="3326" t="s">
        <v>3451</v>
      </c>
      <c r="K20" s="2046" t="s">
        <v>3452</v>
      </c>
      <c r="L20" s="2046" t="s">
        <v>3453</v>
      </c>
      <c r="M20" s="2046" t="s">
        <v>3454</v>
      </c>
      <c r="N20" s="2046" t="s">
        <v>3455</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3456</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2001</v>
      </c>
      <c r="E23" s="761">
        <v>44197</v>
      </c>
      <c r="F23" s="2053" t="s">
        <v>2002</v>
      </c>
      <c r="G23" s="762">
        <f>'数据-取费表'!B2</f>
        <v>45182</v>
      </c>
      <c r="H23" s="3342" t="s">
        <v>3261</v>
      </c>
      <c r="I23" s="3343" t="str">
        <f>IF(H23="季度增幅（自定义）",SUMIF(N25:N28,E2,O25:O28),"")</f>
        <v/>
      </c>
      <c r="J23" s="3445" t="s">
        <v>3260</v>
      </c>
      <c r="K23" s="1125"/>
      <c r="L23" s="2054" t="s">
        <v>2003</v>
      </c>
      <c r="M23" s="1327">
        <f>ROUND(SUMIF(地价!B2:G2,E2,地价!B16:G16),0)</f>
        <v>350</v>
      </c>
      <c r="N23" s="2055" t="s">
        <v>2004</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0.75839999999999996</v>
      </c>
      <c r="D24" s="2059" t="s">
        <v>2006</v>
      </c>
      <c r="E24" s="1334">
        <f>存贷款利率!E24/100</f>
        <v>4.3499999999999997E-2</v>
      </c>
      <c r="F24" s="2059" t="s">
        <v>1998</v>
      </c>
      <c r="G24" s="768">
        <f>SUMIF(M30:Q30,E2,M33:Q33)</f>
        <v>5.5E-2</v>
      </c>
      <c r="H24" s="2059" t="s">
        <v>2007</v>
      </c>
      <c r="I24" s="769">
        <f>SUMIF('数据-取费表'!C6:C15,E2,'数据-取费表'!F6:F15)/COUNTIF('数据-取费表'!C6:C15,E2)</f>
        <v>20.67</v>
      </c>
      <c r="J24" s="770">
        <f>IF(E2="住宅",70,IF(E2="商业",40,50))</f>
        <v>40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3460</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3262</v>
      </c>
      <c r="D26" s="1351">
        <f>IF(E26=G26,F26,IF(G3&lt;10,ROUND(F26+(H26-F26)*(G3-E26)/(G26-E26),4),"——"))</f>
        <v>0.9627</v>
      </c>
      <c r="E26" s="752">
        <f>ROUNDDOWN(G3,1)</f>
        <v>3.2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752">
        <f>ROUNDUP(G3,1)</f>
        <v>3.3000000000000003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4" t="s">
        <v>3263</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1.0525</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268759</v>
      </c>
      <c r="D30" s="2082"/>
      <c r="E30" s="2045"/>
      <c r="F30" s="2083"/>
      <c r="G30" s="2045"/>
      <c r="H30" s="2045"/>
      <c r="I30" s="2045"/>
      <c r="J30" s="2084"/>
      <c r="K30" s="1119"/>
      <c r="L30" s="3350" t="s">
        <v>1935</v>
      </c>
      <c r="M30" s="3351" t="s">
        <v>1989</v>
      </c>
      <c r="N30" s="3351" t="s">
        <v>1990</v>
      </c>
      <c r="O30" s="3351" t="s">
        <v>1991</v>
      </c>
      <c r="P30" s="3351" t="s">
        <v>1992</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5139</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0</v>
      </c>
      <c r="D33" s="2097">
        <f>'数据-汇总表'!F19</f>
        <v>132004.29</v>
      </c>
      <c r="E33" s="773">
        <f>ROUND(C33*D33/10000,0)</f>
        <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3266</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2035</v>
      </c>
      <c r="C37" s="175">
        <f>ROUND(D5*C22*C23*C24*C28*F37,0)</f>
        <v>10674</v>
      </c>
      <c r="D37" s="2097">
        <f>'数据-汇总表'!G19</f>
        <v>14105.84</v>
      </c>
      <c r="E37" s="171">
        <f>ROUND(C37*D37/10000,0)</f>
        <v>15057</v>
      </c>
      <c r="F37" s="171">
        <f>SUMIF(修正!A57:A68,G2,修正!B57:B68)</f>
        <v>0.6</v>
      </c>
      <c r="G37" s="171">
        <f>ROUND(IF(E2="工业",C37*$M$42,C37*$M$41),0)</f>
        <v>2669</v>
      </c>
      <c r="H37" s="171">
        <f>D37</f>
        <v>14105.84</v>
      </c>
      <c r="I37" s="171">
        <f>ROUND(G37*H37/10000,0)</f>
        <v>3765</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f>ROUND(D5*C22*C23*C24*C28*F38,0)</f>
        <v>5337</v>
      </c>
      <c r="D38" s="2097"/>
      <c r="E38" s="171">
        <f t="shared" ref="E38:E42" si="4">ROUND(C38*D38/10000,0)</f>
        <v>0</v>
      </c>
      <c r="F38" s="171">
        <f>SUMIF(修正!A57:A68,G2,修正!C57:C68)</f>
        <v>0.3</v>
      </c>
      <c r="G38" s="171">
        <f>ROUND(IF(E2="工业",C38*$M$42,C38*$M$41),0)</f>
        <v>1334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3264</v>
      </c>
      <c r="C39" s="175">
        <f>ROUND(D5*C22*C23*C24*C28*F39,0)</f>
        <v>4447</v>
      </c>
      <c r="D39" s="2097"/>
      <c r="E39" s="171">
        <f t="shared" si="4"/>
        <v>0</v>
      </c>
      <c r="F39" s="171">
        <f>SUMIF(修正!A57:A68,G2,修正!D57:D68)</f>
        <v>0.25</v>
      </c>
      <c r="G39" s="171">
        <f>ROUND(IF(E2="工业",C39*$M$42,C39*$M$41),0)</f>
        <v>1112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4447</v>
      </c>
      <c r="D40" s="2097"/>
      <c r="E40" s="171">
        <f t="shared" si="4"/>
        <v>0</v>
      </c>
      <c r="F40" s="175">
        <f>SUMIF(修正!A57:A68,G2,修正!E57:E68)</f>
        <v>0.25</v>
      </c>
      <c r="G40" s="171">
        <f>ROUND(IF(E2="工业",C40*$M$42,C40*$M$41),0)</f>
        <v>1112</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5078</v>
      </c>
      <c r="D41" s="2097"/>
      <c r="E41" s="171">
        <f t="shared" si="4"/>
        <v>0</v>
      </c>
      <c r="F41" s="175">
        <f>SUMIF(修正!A57:A68,G2,修正!F57:F68)</f>
        <v>0.25</v>
      </c>
      <c r="G41" s="171">
        <f>ROUND(IF(E2="工业",C41*$M$42,C41*$M$41),0)</f>
        <v>1270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3047</v>
      </c>
      <c r="D42" s="2102">
        <f>'数据-汇总表'!G20</f>
        <v>18025.84</v>
      </c>
      <c r="E42" s="187">
        <f t="shared" si="4"/>
        <v>5492</v>
      </c>
      <c r="F42" s="767">
        <f>SUMIF(修正!A57:A68,G2,修正!G57:G68)</f>
        <v>0.15</v>
      </c>
      <c r="G42" s="187">
        <f>ROUND(IF(E2="工业",C42*$M$42,C42*$M$41),0)</f>
        <v>762</v>
      </c>
      <c r="H42" s="187">
        <f t="shared" si="5"/>
        <v>18025.84</v>
      </c>
      <c r="I42" s="187">
        <f t="shared" si="6"/>
        <v>1374</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0.86599999999999999</v>
      </c>
      <c r="D44" s="171" t="s">
        <v>1998</v>
      </c>
      <c r="E44" s="2152">
        <f>G24</f>
        <v>5.5E-2</v>
      </c>
      <c r="F44" s="171" t="s">
        <v>2007</v>
      </c>
      <c r="G44" s="183">
        <f>项目基本情况!F15</f>
        <v>30.67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1.0525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t="s">
        <v>3457</v>
      </c>
      <c r="D50" s="1065">
        <f t="shared" ref="D50:D58" si="7">SUMIF($J$49:$N$49,C50,J50:N50)</f>
        <v>1.47E-2</v>
      </c>
      <c r="E50" s="744">
        <f>ROUND(SUM(D50:D58),4)</f>
        <v>5.2499999999999998E-2</v>
      </c>
      <c r="F50" s="1813">
        <f>IF(E2="商业",SUMIF(L1:L12,G2,N1:N12),"——")</f>
        <v>9.8000000000000004E-2</v>
      </c>
      <c r="G50" s="1063">
        <f>H50</f>
        <v>1.47E-2</v>
      </c>
      <c r="H50" s="1066">
        <f t="shared" ref="H50:H58" si="8">IFERROR(ROUNDDOWN($F$50*I50/2,4),"——")</f>
        <v>1.47E-2</v>
      </c>
      <c r="I50" s="3366">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t="s">
        <v>3457</v>
      </c>
      <c r="D51" s="1065">
        <f t="shared" si="7"/>
        <v>1.0699999999999999E-2</v>
      </c>
      <c r="E51" s="745"/>
      <c r="F51" s="1813"/>
      <c r="G51" s="1063">
        <f t="shared" ref="G51:G58" si="12">H51</f>
        <v>1.0699999999999999E-2</v>
      </c>
      <c r="H51" s="1066">
        <f t="shared" si="8"/>
        <v>1.0699999999999999E-2</v>
      </c>
      <c r="I51" s="3366">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t="s">
        <v>3457</v>
      </c>
      <c r="D52" s="1065">
        <f t="shared" si="7"/>
        <v>5.7999999999999996E-3</v>
      </c>
      <c r="E52" s="745"/>
      <c r="F52" s="1813"/>
      <c r="G52" s="1063">
        <f t="shared" si="12"/>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3457</v>
      </c>
      <c r="D53" s="1065">
        <f t="shared" si="7"/>
        <v>2.3999999999999998E-3</v>
      </c>
      <c r="E53" s="745"/>
      <c r="F53" s="1813"/>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3457</v>
      </c>
      <c r="D54" s="1065">
        <f t="shared" si="7"/>
        <v>3.8999999999999998E-3</v>
      </c>
      <c r="E54" s="745"/>
      <c r="F54" s="1813"/>
      <c r="G54" s="1063">
        <f t="shared" si="12"/>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29" t="s">
        <v>2056</v>
      </c>
      <c r="B55" s="2135" t="s">
        <v>2057</v>
      </c>
      <c r="C55" s="2043" t="s">
        <v>3457</v>
      </c>
      <c r="D55" s="1065">
        <f t="shared" si="7"/>
        <v>2.3999999999999998E-3</v>
      </c>
      <c r="E55" s="745"/>
      <c r="F55" s="1813"/>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t="s">
        <v>3457</v>
      </c>
      <c r="D56" s="1065">
        <f t="shared" si="7"/>
        <v>2.3999999999999998E-3</v>
      </c>
      <c r="E56" s="745"/>
      <c r="F56" s="1813"/>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t="s">
        <v>3458</v>
      </c>
      <c r="D57" s="1065">
        <f t="shared" si="7"/>
        <v>7.7999999999999996E-3</v>
      </c>
      <c r="E57" s="745"/>
      <c r="F57" s="1813"/>
      <c r="G57" s="1063">
        <f t="shared" si="12"/>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t="s">
        <v>3457</v>
      </c>
      <c r="D58" s="1065">
        <f t="shared" si="7"/>
        <v>2.3999999999999998E-3</v>
      </c>
      <c r="E58" s="746"/>
      <c r="F58" s="1813"/>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2059</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2056</v>
      </c>
      <c r="B78" s="2135" t="s">
        <v>2057</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2067</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3">SUMIF($J$82:$N$82,C83,J83:N83)</f>
        <v>0</v>
      </c>
      <c r="E83" s="744">
        <f>ROUND(SUM(D83:D90),4)</f>
        <v>0</v>
      </c>
      <c r="F83" s="1813"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3"/>
        <v>0</v>
      </c>
      <c r="E84" s="747"/>
      <c r="F84" s="1813"/>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3275</v>
      </c>
      <c r="B85" s="2133">
        <f>估价对象房地状况!G17</f>
        <v>0</v>
      </c>
      <c r="C85" s="2043"/>
      <c r="D85" s="1065">
        <f t="shared" si="23"/>
        <v>0</v>
      </c>
      <c r="E85" s="747"/>
      <c r="F85" s="1813"/>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2066</v>
      </c>
      <c r="B86" s="2133">
        <f>估价对象房地状况!G22</f>
        <v>0</v>
      </c>
      <c r="C86" s="2043"/>
      <c r="D86" s="1065">
        <f t="shared" si="23"/>
        <v>0</v>
      </c>
      <c r="E86" s="747"/>
      <c r="F86" s="1813"/>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2058</v>
      </c>
      <c r="B87" s="1325" t="str">
        <f>估价对象房地状况!G19</f>
        <v>估价对象所在区域公共配套设施齐备情况</v>
      </c>
      <c r="C87" s="2043"/>
      <c r="D87" s="1065">
        <f t="shared" si="23"/>
        <v>0</v>
      </c>
      <c r="E87" s="747"/>
      <c r="F87" s="1813"/>
      <c r="G87" s="1063"/>
      <c r="H87" s="1066" t="str">
        <f t="shared" si="24"/>
        <v>——</v>
      </c>
      <c r="I87" s="3366">
        <v>0.06</v>
      </c>
      <c r="J87" s="1064">
        <f t="shared" si="25"/>
        <v>0</v>
      </c>
      <c r="K87" s="1064">
        <f t="shared" si="26"/>
        <v>0</v>
      </c>
      <c r="L87" s="1064">
        <v>0</v>
      </c>
      <c r="M87" s="1064">
        <f t="shared" si="27"/>
        <v>0</v>
      </c>
      <c r="N87" s="1064">
        <f t="shared" si="27"/>
        <v>0</v>
      </c>
    </row>
    <row r="88" spans="1:37" ht="25.5">
      <c r="A88" s="2129" t="s">
        <v>2059</v>
      </c>
      <c r="B88" s="1325" t="str">
        <f>估价对象房地状况!G20</f>
        <v>估价对象所在区域基础设施水平</v>
      </c>
      <c r="C88" s="2043"/>
      <c r="D88" s="1065">
        <f t="shared" si="23"/>
        <v>0</v>
      </c>
      <c r="E88" s="747"/>
      <c r="F88" s="1813"/>
      <c r="G88" s="1063"/>
      <c r="H88" s="1066" t="str">
        <f t="shared" si="24"/>
        <v>——</v>
      </c>
      <c r="I88" s="3366">
        <v>0.12</v>
      </c>
      <c r="J88" s="1064">
        <f t="shared" si="25"/>
        <v>0</v>
      </c>
      <c r="K88" s="1064">
        <f t="shared" si="26"/>
        <v>0</v>
      </c>
      <c r="L88" s="1064">
        <v>0</v>
      </c>
      <c r="M88" s="1064">
        <f t="shared" si="27"/>
        <v>0</v>
      </c>
      <c r="N88" s="1064">
        <f t="shared" si="27"/>
        <v>0</v>
      </c>
    </row>
    <row r="89" spans="1:37" ht="24">
      <c r="A89" s="2129" t="s">
        <v>2056</v>
      </c>
      <c r="B89" s="2135" t="s">
        <v>2070</v>
      </c>
      <c r="C89" s="2043"/>
      <c r="D89" s="1065">
        <f t="shared" si="23"/>
        <v>0</v>
      </c>
      <c r="E89" s="747"/>
      <c r="F89" s="1813"/>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2071</v>
      </c>
      <c r="B90" s="2142" t="str">
        <f>估价对象房地状况!G18</f>
        <v>该园区内是否有污染型企业，绿化情况，卫生条件，整体环境状况判断</v>
      </c>
      <c r="C90" s="2043"/>
      <c r="D90" s="1065">
        <f t="shared" si="23"/>
        <v>0</v>
      </c>
      <c r="E90" s="748"/>
      <c r="F90" s="1813"/>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806" t="s">
        <v>3299</v>
      </c>
      <c r="B103" s="3806"/>
      <c r="C103" s="3806"/>
      <c r="D103" s="3806"/>
      <c r="E103" s="3806"/>
      <c r="F103" s="3806"/>
      <c r="G103" s="3806"/>
      <c r="H103" s="3806"/>
      <c r="I103" s="3806"/>
      <c r="J103" s="3806"/>
      <c r="K103" s="3389"/>
      <c r="L103" s="3389"/>
      <c r="M103" s="3389"/>
      <c r="N103" s="3389"/>
    </row>
    <row r="104" spans="1:14">
      <c r="A104" s="3807" t="s">
        <v>3300</v>
      </c>
      <c r="B104" s="3807" t="s">
        <v>3301</v>
      </c>
      <c r="C104" s="3390" t="s">
        <v>3302</v>
      </c>
      <c r="D104" s="3391"/>
      <c r="E104" s="3391"/>
      <c r="F104" s="3391"/>
      <c r="G104" s="3391"/>
      <c r="H104" s="3391"/>
      <c r="I104" s="3391"/>
      <c r="J104" s="3392"/>
      <c r="K104" s="3393"/>
      <c r="L104" s="3393"/>
      <c r="M104" s="3393"/>
      <c r="N104" s="3393"/>
    </row>
    <row r="105" spans="1:14">
      <c r="A105" s="3807"/>
      <c r="B105" s="380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9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96" t="s">
        <v>3316</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3.23</v>
      </c>
      <c r="C116" s="3399" t="s">
        <v>3318</v>
      </c>
      <c r="D116" s="3400">
        <f>SUMPRODUCT((A118:A122=F116)*(B117:M117=H116)*B118:M122)</f>
        <v>0.90380000000000005</v>
      </c>
      <c r="E116" s="1999" t="s">
        <v>3319</v>
      </c>
      <c r="F116" s="3401" t="str">
        <f>E2</f>
        <v>商业</v>
      </c>
      <c r="G116" s="1999" t="s">
        <v>3320</v>
      </c>
      <c r="H116" s="3401" t="str">
        <f>G2</f>
        <v>四级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0.96130000000000004</v>
      </c>
      <c r="C118" s="3387">
        <f>B118</f>
        <v>0.96130000000000004</v>
      </c>
      <c r="D118" s="3387">
        <f>ROUND(0.949-0.014*B116,4)</f>
        <v>0.90380000000000005</v>
      </c>
      <c r="E118" s="3387">
        <f>D118</f>
        <v>0.90380000000000005</v>
      </c>
      <c r="F118" s="3387">
        <f>E118</f>
        <v>0.90380000000000005</v>
      </c>
      <c r="G118" s="3387">
        <f>F118</f>
        <v>0.90380000000000005</v>
      </c>
      <c r="H118" s="3387">
        <f>G118</f>
        <v>0.90380000000000005</v>
      </c>
      <c r="I118" s="3387">
        <f>ROUND(0.8486-0.018*B116,4)</f>
        <v>0.79049999999999998</v>
      </c>
      <c r="J118" s="3387">
        <f t="shared" ref="J118:M122" si="36">I118</f>
        <v>0.79049999999999998</v>
      </c>
      <c r="K118" s="3387">
        <f t="shared" si="36"/>
        <v>0.79049999999999998</v>
      </c>
      <c r="L118" s="3387">
        <f t="shared" si="36"/>
        <v>0.79049999999999998</v>
      </c>
      <c r="M118" s="3410">
        <f t="shared" si="36"/>
        <v>0.79049999999999998</v>
      </c>
      <c r="N118" s="3397"/>
    </row>
    <row r="119" spans="1:14">
      <c r="A119" s="3409" t="s">
        <v>3334</v>
      </c>
      <c r="B119" s="3387">
        <f>ROUND(0.993-0.0112*B116,4)</f>
        <v>0.95679999999999998</v>
      </c>
      <c r="C119" s="3387">
        <f>B119</f>
        <v>0.95679999999999998</v>
      </c>
      <c r="D119" s="3387">
        <f>ROUND(0.9415-0.0142*B116,4)</f>
        <v>0.89559999999999995</v>
      </c>
      <c r="E119" s="3387">
        <f t="shared" ref="E119:H120" si="37">D119</f>
        <v>0.89559999999999995</v>
      </c>
      <c r="F119" s="3387">
        <f t="shared" si="37"/>
        <v>0.89559999999999995</v>
      </c>
      <c r="G119" s="3387">
        <f t="shared" si="37"/>
        <v>0.89559999999999995</v>
      </c>
      <c r="H119" s="3387">
        <f t="shared" si="37"/>
        <v>0.89559999999999995</v>
      </c>
      <c r="I119" s="3387">
        <f>ROUND(0.838-0.0182*B116,4)</f>
        <v>0.7792</v>
      </c>
      <c r="J119" s="3387">
        <f t="shared" si="36"/>
        <v>0.7792</v>
      </c>
      <c r="K119" s="3387">
        <f t="shared" si="36"/>
        <v>0.7792</v>
      </c>
      <c r="L119" s="3387">
        <f t="shared" si="36"/>
        <v>0.7792</v>
      </c>
      <c r="M119" s="3410">
        <f t="shared" si="36"/>
        <v>0.7792</v>
      </c>
      <c r="N119" s="3397"/>
    </row>
    <row r="120" spans="1:14">
      <c r="A120" s="3409" t="s">
        <v>3335</v>
      </c>
      <c r="B120" s="3387">
        <f>ROUND(0.9448-0.0115*B116,4)</f>
        <v>0.90769999999999995</v>
      </c>
      <c r="C120" s="3387">
        <f>B120</f>
        <v>0.90769999999999995</v>
      </c>
      <c r="D120" s="3387">
        <f>ROUND(0.937-0.0145*B116,4)</f>
        <v>0.89019999999999999</v>
      </c>
      <c r="E120" s="3387">
        <f t="shared" si="37"/>
        <v>0.89019999999999999</v>
      </c>
      <c r="F120" s="3387">
        <f t="shared" si="37"/>
        <v>0.89019999999999999</v>
      </c>
      <c r="G120" s="3387">
        <f t="shared" si="37"/>
        <v>0.89019999999999999</v>
      </c>
      <c r="H120" s="3387">
        <f t="shared" si="37"/>
        <v>0.89019999999999999</v>
      </c>
      <c r="I120" s="3387">
        <f>ROUND(0.7965-0.0185*B116,4)</f>
        <v>0.73670000000000002</v>
      </c>
      <c r="J120" s="3387">
        <f t="shared" si="36"/>
        <v>0.73670000000000002</v>
      </c>
      <c r="K120" s="3387">
        <f t="shared" si="36"/>
        <v>0.73670000000000002</v>
      </c>
      <c r="L120" s="3387">
        <f t="shared" si="36"/>
        <v>0.73670000000000002</v>
      </c>
      <c r="M120" s="3410">
        <f t="shared" si="36"/>
        <v>0.73670000000000002</v>
      </c>
      <c r="N120" s="3397"/>
    </row>
    <row r="121" spans="1:14" ht="13.5" thickBot="1">
      <c r="A121" s="3411" t="s">
        <v>3336</v>
      </c>
      <c r="B121" s="3412">
        <f>ROUND(0.7836-0.012*B116,4)</f>
        <v>0.74480000000000002</v>
      </c>
      <c r="C121" s="3412">
        <f>B121</f>
        <v>0.74480000000000002</v>
      </c>
      <c r="D121" s="3412">
        <f>ROUND(0.753-0.015*B116,4)</f>
        <v>0.7046</v>
      </c>
      <c r="E121" s="3412">
        <f>D121</f>
        <v>0.7046</v>
      </c>
      <c r="F121" s="3412">
        <f>E121</f>
        <v>0.7046</v>
      </c>
      <c r="G121" s="3412">
        <f>ROUND(0.6612-0.018*B116,4)</f>
        <v>0.60309999999999997</v>
      </c>
      <c r="H121" s="3412">
        <f>G121</f>
        <v>0.60309999999999997</v>
      </c>
      <c r="I121" s="3412">
        <f>ROUND(0.5905-0.019*B116,4)</f>
        <v>0.52910000000000001</v>
      </c>
      <c r="J121" s="3412">
        <f t="shared" si="36"/>
        <v>0.52910000000000001</v>
      </c>
      <c r="K121" s="3412">
        <f t="shared" si="36"/>
        <v>0.52910000000000001</v>
      </c>
      <c r="L121" s="3412">
        <f t="shared" si="36"/>
        <v>0.52910000000000001</v>
      </c>
      <c r="M121" s="3413">
        <f t="shared" si="36"/>
        <v>0.52910000000000001</v>
      </c>
      <c r="N121" s="3397"/>
    </row>
    <row r="122" spans="1:14">
      <c r="A122" s="3414" t="s">
        <v>2615</v>
      </c>
      <c r="B122" s="3387">
        <f>ROUND(0.9404-0.0106*B116,4)</f>
        <v>0.90620000000000001</v>
      </c>
      <c r="C122" s="3387">
        <f>B122</f>
        <v>0.90620000000000001</v>
      </c>
      <c r="D122" s="3387">
        <f>ROUND(0.8955-0.0135*B116,4)</f>
        <v>0.85189999999999999</v>
      </c>
      <c r="E122" s="3387">
        <f t="shared" ref="E122:H122" si="38">D122</f>
        <v>0.85189999999999999</v>
      </c>
      <c r="F122" s="3387">
        <f t="shared" si="38"/>
        <v>0.85189999999999999</v>
      </c>
      <c r="G122" s="3387">
        <f t="shared" si="38"/>
        <v>0.85189999999999999</v>
      </c>
      <c r="H122" s="3387">
        <f t="shared" si="38"/>
        <v>0.85189999999999999</v>
      </c>
      <c r="I122" s="3387">
        <f>ROUND(0.7632-0.0166*B116,4)</f>
        <v>0.70960000000000001</v>
      </c>
      <c r="J122" s="3387">
        <f t="shared" si="36"/>
        <v>0.70960000000000001</v>
      </c>
      <c r="K122" s="3387">
        <f t="shared" si="36"/>
        <v>0.70960000000000001</v>
      </c>
      <c r="L122" s="3387">
        <f t="shared" si="36"/>
        <v>0.70960000000000001</v>
      </c>
      <c r="M122" s="3410">
        <f t="shared" si="36"/>
        <v>0.70960000000000001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35391.620000000003</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19189</v>
      </c>
      <c r="C2" s="1998" t="s">
        <v>1934</v>
      </c>
      <c r="D2" s="1999" t="s">
        <v>1935</v>
      </c>
      <c r="E2" s="3421" t="s">
        <v>3</v>
      </c>
      <c r="F2" s="1999" t="s">
        <v>1936</v>
      </c>
      <c r="G2" s="2000" t="str">
        <f>IF(E2="商业",项目基本情况!B37,IF(E2="办公",项目基本情况!C37,IF(E2="住宅",项目基本情况!D37,IF(E2="工业",项目基本情况!E37,项目基本情况!F37))))</f>
        <v>三级</v>
      </c>
      <c r="H2" s="1999" t="s">
        <v>1937</v>
      </c>
      <c r="I2" s="2000" t="str">
        <f>IF(E2="商业",项目基本情况!B38,IF(E2="办公",项目基本情况!C38,IF(E2="住宅",项目基本情况!D38,IF(E2="工业",项目基本情况!E38,项目基本情况!F38))))</f>
        <v>Ⅲ—02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10529</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5422</v>
      </c>
      <c r="C3" s="1998" t="s">
        <v>1940</v>
      </c>
      <c r="D3" s="1999" t="s">
        <v>1941</v>
      </c>
      <c r="E3" s="3419" t="s">
        <v>2501</v>
      </c>
      <c r="F3" s="2003" t="s">
        <v>3447</v>
      </c>
      <c r="G3" s="752">
        <f>IF(F3="宗地容积率",'数据-汇总表'!I4,IF(F3="估价对象容积率",'数据-汇总表'!I6,'数据-汇总表'!I7))</f>
        <v>3.23</v>
      </c>
      <c r="H3" s="170" t="s">
        <v>1942</v>
      </c>
      <c r="I3" s="775"/>
      <c r="J3" s="2001" t="s">
        <v>1943</v>
      </c>
      <c r="K3" s="1119"/>
      <c r="L3" s="2002" t="s">
        <v>1944</v>
      </c>
      <c r="M3" s="864">
        <f>SUMPRODUCT((区片价!B30:B54=I2)*(区片价!C3:G3=E2)*(区片价!C30:G54))</f>
        <v>7470</v>
      </c>
      <c r="N3" s="866">
        <f>SUMPRODUCT((因素修正幅度!B30:B54=I2)*(因素修正幅度!C3:G3=E2)*(因素修正幅度!C30:G54))</f>
        <v>0.1</v>
      </c>
      <c r="O3" s="1119"/>
      <c r="P3" s="1119"/>
      <c r="Q3" s="1119"/>
      <c r="R3" s="1211">
        <v>2</v>
      </c>
      <c r="S3" s="3360">
        <f>ROUND(SUMPRODUCT((B106:B110=R3)*(C105:N105=G2)*(C106:N110)),4)</f>
        <v>1.1838</v>
      </c>
      <c r="T3" s="3360">
        <f t="shared" si="0"/>
        <v>8299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7014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7437</v>
      </c>
      <c r="D5" s="1338">
        <f>ROUND(C6*C17+C20,0)</f>
        <v>7437</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6186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7470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5945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3457"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3467" t="s">
        <v>1954</v>
      </c>
      <c r="X7" s="1213" t="str">
        <f>G2</f>
        <v>三级</v>
      </c>
      <c r="Y7" s="1213" t="s">
        <v>1955</v>
      </c>
      <c r="Z7" s="1214">
        <f>G3</f>
        <v>3.23</v>
      </c>
      <c r="AA7" s="1215"/>
      <c r="AB7" s="1215"/>
      <c r="AC7" s="1216"/>
      <c r="AD7" s="1217"/>
      <c r="AE7" s="1217"/>
      <c r="AF7" s="1217"/>
      <c r="AG7" s="1217"/>
      <c r="AH7" s="1217"/>
      <c r="AI7" s="1217"/>
      <c r="AJ7" s="1218"/>
    </row>
    <row r="8" spans="1:36" ht="25.5">
      <c r="A8" s="3298"/>
      <c r="B8" s="170" t="s">
        <v>1956</v>
      </c>
      <c r="C8" s="2025" t="s">
        <v>3448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55" t="s">
        <v>1984</v>
      </c>
      <c r="C14" s="2040" t="s">
        <v>1985</v>
      </c>
      <c r="D14" s="1349" t="s">
        <v>1986</v>
      </c>
      <c r="E14" s="27" t="s">
        <v>1987</v>
      </c>
      <c r="F14" s="3311" t="s">
        <v>3248</v>
      </c>
      <c r="G14" s="3311" t="s">
        <v>3248</v>
      </c>
      <c r="H14" s="3311" t="s">
        <v>3248</v>
      </c>
      <c r="I14" s="3311" t="s">
        <v>3248</v>
      </c>
      <c r="J14" s="3311" t="s">
        <v>3248</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56"/>
      <c r="C15" s="2042"/>
      <c r="D15" s="2043"/>
      <c r="E15" s="2044"/>
      <c r="F15" s="3312" t="s">
        <v>3249</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454"/>
      <c r="C18" s="3327"/>
      <c r="D18" s="3322" t="s">
        <v>3253</v>
      </c>
      <c r="E18" s="3328"/>
      <c r="F18" s="3323" t="s">
        <v>3256</v>
      </c>
      <c r="G18" s="3327">
        <f>ROUND(1-(1/(POWER(1+G24,E18))),4)</f>
        <v>0</v>
      </c>
      <c r="H18" s="3323" t="s">
        <v>3258</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3259</v>
      </c>
      <c r="B20" s="167" t="s">
        <v>1993</v>
      </c>
      <c r="C20" s="3324">
        <f>ROUND(IF(F21="与级别开发程度一致",0,(G21-E21)/C21),0)</f>
        <v>-33</v>
      </c>
      <c r="D20" s="3340" t="s">
        <v>1997</v>
      </c>
      <c r="E20" s="3341"/>
      <c r="F20" s="3810" t="s">
        <v>1994</v>
      </c>
      <c r="G20" s="3811"/>
      <c r="H20" s="3325" t="s">
        <v>3449</v>
      </c>
      <c r="I20" s="3325" t="s">
        <v>3450</v>
      </c>
      <c r="J20" s="3326" t="s">
        <v>3451</v>
      </c>
      <c r="K20" s="2046" t="s">
        <v>3452</v>
      </c>
      <c r="L20" s="2046" t="s">
        <v>3453</v>
      </c>
      <c r="M20" s="2046" t="s">
        <v>3454</v>
      </c>
      <c r="N20" s="2046" t="s">
        <v>3455</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1996</v>
      </c>
      <c r="C21" s="2164">
        <f>IF(E3="M4科研用地",SUMPRODUCT((修正!A2:A7=E3)*(修正!B1:M1=G2)*(修正!B2:M7)),SUMPRODUCT((修正!A2:A7=E2)*(修正!B1:M1=G2)*(修正!B2:M7)))</f>
        <v>1.5</v>
      </c>
      <c r="D21" s="187" t="str">
        <f>IF(OR(G2="八级",G2="九级",G2="十级",G2="十一级",G2="十二级"),"五通一平","七通一平")</f>
        <v>七通一平</v>
      </c>
      <c r="E21" s="2154">
        <f>SUMPRODUCT((修正!B1:M1=G2)*(修正!B17:M17))</f>
        <v>315</v>
      </c>
      <c r="F21" s="2155" t="s">
        <v>3456</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2001</v>
      </c>
      <c r="E23" s="761">
        <v>44197</v>
      </c>
      <c r="F23" s="2053" t="s">
        <v>2002</v>
      </c>
      <c r="G23" s="762">
        <f>'数据-取费表'!B2</f>
        <v>45182</v>
      </c>
      <c r="H23" s="3342" t="s">
        <v>3261</v>
      </c>
      <c r="I23" s="3343" t="str">
        <f>IF(H23="季度增幅（自定义）",SUMIF(N25:N28,E2,O25:O28),"")</f>
        <v/>
      </c>
      <c r="J23" s="3445" t="s">
        <v>3260</v>
      </c>
      <c r="K23" s="1125"/>
      <c r="L23" s="2054" t="s">
        <v>2003</v>
      </c>
      <c r="M23" s="1327">
        <f>ROUND(SUMIF(地价!B2:G2,E2,地价!B16:G16),0)</f>
        <v>318</v>
      </c>
      <c r="N23" s="2055" t="s">
        <v>2004</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0.85019999999999996</v>
      </c>
      <c r="D24" s="2059" t="s">
        <v>2006</v>
      </c>
      <c r="E24" s="1334">
        <f>存贷款利率!E24/100</f>
        <v>4.3499999999999997E-2</v>
      </c>
      <c r="F24" s="2059" t="s">
        <v>1998</v>
      </c>
      <c r="G24" s="768">
        <f>SUMIF(M30:Q30,E2,M33:Q33)</f>
        <v>0.05</v>
      </c>
      <c r="H24" s="2059" t="s">
        <v>2007</v>
      </c>
      <c r="I24" s="769">
        <f>SUMIF('数据-取费表'!C6:C15,E2,'数据-取费表'!F6:F15)/COUNTIF('数据-取费表'!C6:C15,E2)</f>
        <v>30.67</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3463">
        <f>IF(B25="容积率修正",IF(G3&lt;10,D26,J26),C27)</f>
        <v>0.77339999999999998</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3262</v>
      </c>
      <c r="D26" s="3462">
        <f>IF(E26=G26,F26,IF(G3&lt;10,ROUND(F26+(H26-F26)*(G3-E26)/(G26-E26),4),"——"))</f>
        <v>0.77339999999999998</v>
      </c>
      <c r="E26" s="752">
        <f>ROUNDDOWN(G3,1)</f>
        <v>3.2</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0.77549999999999997</v>
      </c>
      <c r="G26" s="752">
        <f>ROUNDUP(G3,1)</f>
        <v>3.3000000000000003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0.76839999999999997</v>
      </c>
      <c r="I26" s="3344" t="s">
        <v>3263</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1.0429999999999999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19189</v>
      </c>
      <c r="D30" s="2082"/>
      <c r="E30" s="2045"/>
      <c r="F30" s="2083"/>
      <c r="G30" s="2045"/>
      <c r="H30" s="2045"/>
      <c r="I30" s="2045"/>
      <c r="J30" s="2084"/>
      <c r="K30" s="1119"/>
      <c r="L30" s="3350" t="s">
        <v>1935</v>
      </c>
      <c r="M30" s="3351" t="s">
        <v>1989</v>
      </c>
      <c r="N30" s="3351" t="s">
        <v>1990</v>
      </c>
      <c r="O30" s="3351" t="s">
        <v>1991</v>
      </c>
      <c r="P30" s="3351" t="s">
        <v>1992</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5422</v>
      </c>
      <c r="D33" s="2097">
        <f>'数据-汇总表'!F20</f>
        <v>35391.620000000003</v>
      </c>
      <c r="E33" s="773">
        <f>ROUND(C33*D33/10000,0)</f>
        <v>19189</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813</v>
      </c>
      <c r="D34" s="2102"/>
      <c r="E34" s="773">
        <f>ROUND(IF(B25="楼层修正",SUM(V2:V16)*M40,C34*D34/10000),0)</f>
        <v>0</v>
      </c>
      <c r="F34" s="2103" t="s">
        <v>2031</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3266</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2035</v>
      </c>
      <c r="C37" s="175">
        <f>ROUND(D5*C22*C23*C24*C28*F37,0)</f>
        <v>4206</v>
      </c>
      <c r="D37" s="2097"/>
      <c r="E37" s="171">
        <f>ROUND(C37*D37/10000,0)</f>
        <v>0</v>
      </c>
      <c r="F37" s="171">
        <f>SUMIF(修正!A57:A68,G2,修正!B57:B68)</f>
        <v>0.6</v>
      </c>
      <c r="G37" s="171">
        <f>ROUND(IF(E2="工业",C37*$M$42,C37*$M$41),0)</f>
        <v>631</v>
      </c>
      <c r="H37" s="171">
        <f>D37</f>
        <v>0</v>
      </c>
      <c r="I37" s="171">
        <f>ROUND(G37*H37/10000,0)</f>
        <v>0</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f>ROUND(D5*C22*C23*C24*C28*F38,0)</f>
        <v>2103</v>
      </c>
      <c r="D38" s="2097"/>
      <c r="E38" s="171">
        <f t="shared" ref="E38:E42" si="4">ROUND(C38*D38/10000,0)</f>
        <v>0</v>
      </c>
      <c r="F38" s="171">
        <f>SUMIF(修正!A57:A68,G2,修正!C57:C68)</f>
        <v>0.3</v>
      </c>
      <c r="G38" s="171">
        <f>ROUND(IF(E2="工业",C38*$M$42,C38*$M$41),0)</f>
        <v>315</v>
      </c>
      <c r="H38" s="171">
        <f t="shared" ref="H38:H42" si="5">D38</f>
        <v>0</v>
      </c>
      <c r="I38" s="171">
        <f t="shared" ref="I38:I42" si="6">ROUND(G38*H38/10000,0)</f>
        <v>0</v>
      </c>
      <c r="J38" s="347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3264</v>
      </c>
      <c r="C39" s="175">
        <f>ROUND(D5*C22*C23*C24*C28*F39,0)</f>
        <v>1753</v>
      </c>
      <c r="D39" s="2097"/>
      <c r="E39" s="171">
        <f t="shared" si="4"/>
        <v>0</v>
      </c>
      <c r="F39" s="171">
        <f>SUMIF(修正!A57:A68,G2,修正!D57:D68)</f>
        <v>0.25</v>
      </c>
      <c r="G39" s="171">
        <f>ROUND(IF(E2="工业",C39*$M$42,C39*$M$41),0)</f>
        <v>263</v>
      </c>
      <c r="H39" s="171">
        <f t="shared" si="5"/>
        <v>0</v>
      </c>
      <c r="I39" s="171">
        <f t="shared" si="6"/>
        <v>0</v>
      </c>
      <c r="J39" s="347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1753</v>
      </c>
      <c r="D40" s="2097"/>
      <c r="E40" s="171">
        <f t="shared" si="4"/>
        <v>0</v>
      </c>
      <c r="F40" s="175">
        <f>SUMIF(修正!A57:A68,G2,修正!E57:E68)</f>
        <v>0.25</v>
      </c>
      <c r="G40" s="171">
        <f>ROUND(IF(E2="工业",C40*$M$42,C40*$M$41),0)</f>
        <v>263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2042</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t="s">
        <v>3457</v>
      </c>
      <c r="D50" s="1065" t="e">
        <f t="shared" ref="D50:D58" si="7">SUMIF($J$49:$N$49,C50,J50:N50)</f>
        <v>#VALUE!</v>
      </c>
      <c r="E50" s="744" t="e">
        <f>ROUND(SUM(D50:D58),4)</f>
        <v>#VALUE!</v>
      </c>
      <c r="F50" s="1813"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t="s">
        <v>3457</v>
      </c>
      <c r="D51" s="1065" t="e">
        <f t="shared" si="7"/>
        <v>#VALUE!</v>
      </c>
      <c r="E51" s="745"/>
      <c r="F51" s="1813"/>
      <c r="G51" s="1063" t="str">
        <f t="shared" ref="G51:G58"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hidden="1">
      <c r="A52" s="3368" t="s">
        <v>3274</v>
      </c>
      <c r="B52" s="2133">
        <f>估价对象房地状况!C19</f>
        <v>0</v>
      </c>
      <c r="C52" s="2043" t="s">
        <v>3457</v>
      </c>
      <c r="D52" s="1065" t="e">
        <f t="shared" si="7"/>
        <v>#VALUE!</v>
      </c>
      <c r="E52" s="745"/>
      <c r="F52" s="1813"/>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hidden="1">
      <c r="A53" s="2129" t="s">
        <v>2053</v>
      </c>
      <c r="B53" s="2134" t="s">
        <v>2054</v>
      </c>
      <c r="C53" s="2043" t="s">
        <v>3457</v>
      </c>
      <c r="D53" s="1065" t="e">
        <f t="shared" si="7"/>
        <v>#VALUE!</v>
      </c>
      <c r="E53" s="745"/>
      <c r="F53" s="1813"/>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t="s">
        <v>3457</v>
      </c>
      <c r="D54" s="1065" t="e">
        <f t="shared" si="7"/>
        <v>#VALUE!</v>
      </c>
      <c r="E54" s="745"/>
      <c r="F54" s="1813"/>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hidden="1">
      <c r="A55" s="2129" t="s">
        <v>2056</v>
      </c>
      <c r="B55" s="2135" t="s">
        <v>2057</v>
      </c>
      <c r="C55" s="2043" t="s">
        <v>3457</v>
      </c>
      <c r="D55" s="1065" t="e">
        <f t="shared" si="7"/>
        <v>#VALUE!</v>
      </c>
      <c r="E55" s="745"/>
      <c r="F55" s="1813"/>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hidden="1">
      <c r="A56" s="2136" t="s">
        <v>2058</v>
      </c>
      <c r="B56" s="1325" t="str">
        <f>估价对象房地状况!C21</f>
        <v>估价对象所在区域公共配套设施齐备情况</v>
      </c>
      <c r="C56" s="2043" t="s">
        <v>3457</v>
      </c>
      <c r="D56" s="1065" t="e">
        <f t="shared" si="7"/>
        <v>#VALUE!</v>
      </c>
      <c r="E56" s="745"/>
      <c r="F56" s="1813"/>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t="s">
        <v>3458</v>
      </c>
      <c r="D57" s="1065" t="e">
        <f t="shared" si="7"/>
        <v>#VALUE!</v>
      </c>
      <c r="E57" s="745"/>
      <c r="F57" s="1813"/>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t="s">
        <v>3457</v>
      </c>
      <c r="D58" s="1065" t="e">
        <f t="shared" si="7"/>
        <v>#VALUE!</v>
      </c>
      <c r="E58" s="746"/>
      <c r="F58" s="1813"/>
      <c r="G58" s="1063" t="str">
        <f t="shared" si="12"/>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hidden="1">
      <c r="A63" s="3368" t="s">
        <v>3274</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hidden="1">
      <c r="A67" s="2129" t="s">
        <v>2058</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hidden="1">
      <c r="A68" s="2129" t="s">
        <v>2059</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hidden="1">
      <c r="A74" s="3368" t="s">
        <v>3274</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hidden="1">
      <c r="A76" s="2129" t="s">
        <v>2058</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hidden="1">
      <c r="A77" s="2129" t="s">
        <v>2059</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hidden="1">
      <c r="A78" s="2129" t="s">
        <v>2056</v>
      </c>
      <c r="B78" s="2135" t="s">
        <v>2057</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hidden="1" thickBot="1">
      <c r="A80" s="2137" t="s">
        <v>2067</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2068</v>
      </c>
      <c r="B81" s="2126">
        <f>1+E83</f>
        <v>1.0429999999999999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t="s">
        <v>3459</v>
      </c>
      <c r="D83" s="1065">
        <f t="shared" ref="D83:D90" si="23">SUMIF($J$82:$N$82,C83,J83:N83)</f>
        <v>0</v>
      </c>
      <c r="E83" s="744">
        <f>ROUND(SUM(D83:D90),4)</f>
        <v>4.2999999999999997E-2</v>
      </c>
      <c r="F83" s="1813">
        <f>IF(E2="工业",SUMIF(L1:L12,G2,N1:N12),"——")</f>
        <v>0.1</v>
      </c>
      <c r="G83" s="1063">
        <f>H83</f>
        <v>1.2999999999999999E-2</v>
      </c>
      <c r="H83" s="1066">
        <f t="shared" ref="H83:H90" si="24">IFERROR(ROUNDDOWN($F$83*I83/2,4),"——")</f>
        <v>1.2999999999999999E-2</v>
      </c>
      <c r="I83" s="3366">
        <v>0.26</v>
      </c>
      <c r="J83" s="1064">
        <f t="shared" ref="J83:J90" si="25">K83+$G83</f>
        <v>2.5999999999999999E-2</v>
      </c>
      <c r="K83" s="1064">
        <f t="shared" ref="K83:K90" si="26">$L83+$G83</f>
        <v>1.2999999999999999E-2</v>
      </c>
      <c r="L83" s="1064">
        <v>0</v>
      </c>
      <c r="M83" s="1064">
        <f t="shared" ref="M83:N90" si="27">L83-$G83</f>
        <v>-1.2999999999999999E-2</v>
      </c>
      <c r="N83" s="1064">
        <f t="shared" si="27"/>
        <v>-2.5999999999999999E-2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3457</v>
      </c>
      <c r="D84" s="1065">
        <f t="shared" si="23"/>
        <v>1.4999999999999999E-2</v>
      </c>
      <c r="E84" s="747"/>
      <c r="F84" s="1813"/>
      <c r="G84" s="1063">
        <f t="shared" ref="G84:G90" si="28">H84</f>
        <v>1.4999999999999999E-2</v>
      </c>
      <c r="H84" s="1066">
        <f t="shared" si="24"/>
        <v>1.4999999999999999E-2</v>
      </c>
      <c r="I84" s="3366">
        <v>0.3</v>
      </c>
      <c r="J84" s="1064">
        <f t="shared" si="25"/>
        <v>0.03</v>
      </c>
      <c r="K84" s="1064">
        <f t="shared" si="26"/>
        <v>1.4999999999999999E-2</v>
      </c>
      <c r="L84" s="1064">
        <v>0</v>
      </c>
      <c r="M84" s="1064">
        <f t="shared" si="27"/>
        <v>-1.4999999999999999E-2</v>
      </c>
      <c r="N84" s="1064">
        <f t="shared" si="27"/>
        <v>-0.03</v>
      </c>
      <c r="Z84" s="1997"/>
      <c r="AA84" s="2052"/>
      <c r="AG84" s="1121"/>
      <c r="AK84" s="2052"/>
    </row>
    <row r="85" spans="1:37" ht="36">
      <c r="A85" s="3368" t="s">
        <v>3274</v>
      </c>
      <c r="B85" s="2133">
        <f>估价对象房地状况!G17</f>
        <v>0</v>
      </c>
      <c r="C85" s="2043" t="s">
        <v>3457</v>
      </c>
      <c r="D85" s="1065">
        <f t="shared" si="23"/>
        <v>5.0000000000000001E-3</v>
      </c>
      <c r="E85" s="747"/>
      <c r="F85" s="1813"/>
      <c r="G85" s="1063">
        <f t="shared" si="28"/>
        <v>5.0000000000000001E-3</v>
      </c>
      <c r="H85" s="1066">
        <f t="shared" si="24"/>
        <v>5.0000000000000001E-3</v>
      </c>
      <c r="I85" s="3366">
        <v>0.1</v>
      </c>
      <c r="J85" s="1064">
        <f t="shared" si="25"/>
        <v>0.01</v>
      </c>
      <c r="K85" s="1064">
        <f t="shared" si="26"/>
        <v>5.0000000000000001E-3</v>
      </c>
      <c r="L85" s="1064">
        <v>0</v>
      </c>
      <c r="M85" s="1064">
        <f t="shared" si="27"/>
        <v>-5.0000000000000001E-3</v>
      </c>
      <c r="N85" s="1064">
        <f t="shared" si="27"/>
        <v>-0.01</v>
      </c>
      <c r="Z85" s="1997"/>
      <c r="AA85" s="2052"/>
      <c r="AG85" s="1121"/>
      <c r="AK85" s="2052"/>
    </row>
    <row r="86" spans="1:37" ht="14.25">
      <c r="A86" s="2129" t="s">
        <v>2066</v>
      </c>
      <c r="B86" s="2133">
        <f>估价对象房地状况!G22</f>
        <v>0</v>
      </c>
      <c r="C86" s="2043" t="s">
        <v>3457</v>
      </c>
      <c r="D86" s="1065">
        <f t="shared" si="23"/>
        <v>2.5000000000000001E-3</v>
      </c>
      <c r="E86" s="747"/>
      <c r="F86" s="1813"/>
      <c r="G86" s="1063">
        <f t="shared" si="28"/>
        <v>2.5000000000000001E-3</v>
      </c>
      <c r="H86" s="1066">
        <f t="shared" si="24"/>
        <v>2.5000000000000001E-3</v>
      </c>
      <c r="I86" s="3366">
        <v>0.05</v>
      </c>
      <c r="J86" s="1064">
        <f t="shared" si="25"/>
        <v>5.0000000000000001E-3</v>
      </c>
      <c r="K86" s="1064">
        <f t="shared" si="26"/>
        <v>2.5000000000000001E-3</v>
      </c>
      <c r="L86" s="1064">
        <v>0</v>
      </c>
      <c r="M86" s="1064">
        <f t="shared" si="27"/>
        <v>-2.5000000000000001E-3</v>
      </c>
      <c r="N86" s="1064">
        <f t="shared" si="27"/>
        <v>-5.0000000000000001E-3</v>
      </c>
      <c r="Z86" s="1997"/>
      <c r="AA86" s="2052"/>
      <c r="AG86" s="1121"/>
      <c r="AK86" s="2052"/>
    </row>
    <row r="87" spans="1:37" ht="25.5">
      <c r="A87" s="2129" t="s">
        <v>2058</v>
      </c>
      <c r="B87" s="1325" t="str">
        <f>估价对象房地状况!G19</f>
        <v>估价对象所在区域公共配套设施齐备情况</v>
      </c>
      <c r="C87" s="2043" t="s">
        <v>3457</v>
      </c>
      <c r="D87" s="1065">
        <f t="shared" si="23"/>
        <v>3.0000000000000001E-3</v>
      </c>
      <c r="E87" s="747"/>
      <c r="F87" s="1813"/>
      <c r="G87" s="1063">
        <f t="shared" si="28"/>
        <v>3.0000000000000001E-3</v>
      </c>
      <c r="H87" s="1066">
        <f t="shared" si="24"/>
        <v>3.0000000000000001E-3</v>
      </c>
      <c r="I87" s="3366">
        <v>0.06</v>
      </c>
      <c r="J87" s="1064">
        <f t="shared" si="25"/>
        <v>6.0000000000000001E-3</v>
      </c>
      <c r="K87" s="1064">
        <f t="shared" si="26"/>
        <v>3.0000000000000001E-3</v>
      </c>
      <c r="L87" s="1064">
        <v>0</v>
      </c>
      <c r="M87" s="1064">
        <f t="shared" si="27"/>
        <v>-3.0000000000000001E-3</v>
      </c>
      <c r="N87" s="1064">
        <f t="shared" si="27"/>
        <v>-6.0000000000000001E-3</v>
      </c>
    </row>
    <row r="88" spans="1:37" ht="25.5">
      <c r="A88" s="2129" t="s">
        <v>2059</v>
      </c>
      <c r="B88" s="1325" t="str">
        <f>估价对象房地状况!G20</f>
        <v>估价对象所在区域基础设施水平</v>
      </c>
      <c r="C88" s="2043" t="s">
        <v>3458</v>
      </c>
      <c r="D88" s="1065">
        <f t="shared" si="23"/>
        <v>1.2E-2</v>
      </c>
      <c r="E88" s="747"/>
      <c r="F88" s="1813"/>
      <c r="G88" s="1063">
        <f t="shared" si="28"/>
        <v>6.0000000000000001E-3</v>
      </c>
      <c r="H88" s="1066">
        <f t="shared" si="24"/>
        <v>6.0000000000000001E-3</v>
      </c>
      <c r="I88" s="3366">
        <v>0.12</v>
      </c>
      <c r="J88" s="1064">
        <f t="shared" si="25"/>
        <v>1.2E-2</v>
      </c>
      <c r="K88" s="1064">
        <f t="shared" si="26"/>
        <v>6.0000000000000001E-3</v>
      </c>
      <c r="L88" s="1064">
        <v>0</v>
      </c>
      <c r="M88" s="1064">
        <f t="shared" si="27"/>
        <v>-6.0000000000000001E-3</v>
      </c>
      <c r="N88" s="1064">
        <f t="shared" si="27"/>
        <v>-1.2E-2</v>
      </c>
    </row>
    <row r="89" spans="1:37" ht="24">
      <c r="A89" s="2129" t="s">
        <v>2056</v>
      </c>
      <c r="B89" s="2135" t="s">
        <v>2070</v>
      </c>
      <c r="C89" s="2043" t="s">
        <v>3457</v>
      </c>
      <c r="D89" s="1065">
        <f t="shared" si="23"/>
        <v>3.0000000000000001E-3</v>
      </c>
      <c r="E89" s="747"/>
      <c r="F89" s="1813"/>
      <c r="G89" s="1063">
        <f t="shared" si="28"/>
        <v>3.0000000000000001E-3</v>
      </c>
      <c r="H89" s="1066">
        <f t="shared" si="24"/>
        <v>3.0000000000000001E-3</v>
      </c>
      <c r="I89" s="3366">
        <v>0.06</v>
      </c>
      <c r="J89" s="1064">
        <f t="shared" si="25"/>
        <v>6.0000000000000001E-3</v>
      </c>
      <c r="K89" s="1064">
        <f t="shared" si="26"/>
        <v>3.0000000000000001E-3</v>
      </c>
      <c r="L89" s="1064">
        <v>0</v>
      </c>
      <c r="M89" s="1064">
        <f t="shared" si="27"/>
        <v>-3.0000000000000001E-3</v>
      </c>
      <c r="N89" s="1064">
        <f t="shared" si="27"/>
        <v>-6.0000000000000001E-3</v>
      </c>
    </row>
    <row r="90" spans="1:37" ht="39" thickBot="1">
      <c r="A90" s="2137" t="s">
        <v>2071</v>
      </c>
      <c r="B90" s="2142" t="str">
        <f>估价对象房地状况!G18</f>
        <v>该园区内是否有污染型企业，绿化情况，卫生条件，整体环境状况判断</v>
      </c>
      <c r="C90" s="2043" t="s">
        <v>3457</v>
      </c>
      <c r="D90" s="1065">
        <f t="shared" si="23"/>
        <v>2.5000000000000001E-3</v>
      </c>
      <c r="E90" s="748"/>
      <c r="F90" s="1813"/>
      <c r="G90" s="1063">
        <f t="shared" si="28"/>
        <v>2.5000000000000001E-3</v>
      </c>
      <c r="H90" s="1066">
        <f t="shared" si="24"/>
        <v>2.5000000000000001E-3</v>
      </c>
      <c r="I90" s="3367">
        <v>0.05</v>
      </c>
      <c r="J90" s="1064">
        <f t="shared" si="25"/>
        <v>5.0000000000000001E-3</v>
      </c>
      <c r="K90" s="1064">
        <f t="shared" si="26"/>
        <v>2.5000000000000001E-3</v>
      </c>
      <c r="L90" s="1064">
        <v>0</v>
      </c>
      <c r="M90" s="1064">
        <f t="shared" si="27"/>
        <v>-2.5000000000000001E-3</v>
      </c>
      <c r="N90" s="1064">
        <f t="shared" si="27"/>
        <v>-5.0000000000000001E-3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2043</v>
      </c>
      <c r="B92" s="3365"/>
      <c r="C92" s="3365" t="s">
        <v>2045</v>
      </c>
      <c r="D92" s="3365" t="s">
        <v>2046</v>
      </c>
      <c r="E92" s="3347" t="s">
        <v>2047</v>
      </c>
      <c r="F92" s="3380" t="s">
        <v>3288</v>
      </c>
      <c r="G92" s="3365" t="s">
        <v>1988</v>
      </c>
      <c r="H92" s="3387" t="s">
        <v>3292</v>
      </c>
      <c r="I92" s="3365" t="s">
        <v>2050</v>
      </c>
      <c r="J92" s="3388" t="s">
        <v>1720</v>
      </c>
      <c r="K92" s="3388" t="s">
        <v>1721</v>
      </c>
      <c r="L92" s="3388" t="s">
        <v>1722</v>
      </c>
      <c r="M92" s="3388" t="s">
        <v>1723</v>
      </c>
      <c r="N92" s="3388" t="s">
        <v>1724</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2052</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3274</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2053</v>
      </c>
      <c r="B96" s="3384" t="s">
        <v>3290</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2056</v>
      </c>
      <c r="B98" s="3385" t="s">
        <v>3291</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2060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806" t="s">
        <v>3299</v>
      </c>
      <c r="B103" s="3806"/>
      <c r="C103" s="3806"/>
      <c r="D103" s="3806"/>
      <c r="E103" s="3806"/>
      <c r="F103" s="3806"/>
      <c r="G103" s="3806"/>
      <c r="H103" s="3806"/>
      <c r="I103" s="3806"/>
      <c r="J103" s="3806"/>
      <c r="K103" s="3468"/>
      <c r="L103" s="3468"/>
      <c r="M103" s="3468"/>
      <c r="N103" s="3468"/>
    </row>
    <row r="104" spans="1:14">
      <c r="A104" s="3807" t="s">
        <v>3300</v>
      </c>
      <c r="B104" s="3807" t="s">
        <v>3301</v>
      </c>
      <c r="C104" s="3390" t="s">
        <v>3302</v>
      </c>
      <c r="D104" s="3391"/>
      <c r="E104" s="3391"/>
      <c r="F104" s="3391"/>
      <c r="G104" s="3391"/>
      <c r="H104" s="3391"/>
      <c r="I104" s="3391"/>
      <c r="J104" s="3392"/>
      <c r="K104" s="3393"/>
      <c r="L104" s="3393"/>
      <c r="M104" s="3393"/>
      <c r="N104" s="3393"/>
    </row>
    <row r="105" spans="1:14">
      <c r="A105" s="3807"/>
      <c r="B105" s="3807"/>
      <c r="C105" s="3469" t="s">
        <v>1960</v>
      </c>
      <c r="D105" s="3469" t="s">
        <v>1961</v>
      </c>
      <c r="E105" s="3469" t="s">
        <v>1962</v>
      </c>
      <c r="F105" s="3469" t="s">
        <v>1963</v>
      </c>
      <c r="G105" s="3469" t="s">
        <v>1964</v>
      </c>
      <c r="H105" s="3469" t="s">
        <v>1965</v>
      </c>
      <c r="I105" s="3469" t="s">
        <v>1966</v>
      </c>
      <c r="J105" s="3469" t="s">
        <v>1967</v>
      </c>
      <c r="K105" s="3469" t="s">
        <v>1968</v>
      </c>
      <c r="L105" s="3469" t="s">
        <v>1969</v>
      </c>
      <c r="M105" s="3469" t="s">
        <v>1970</v>
      </c>
      <c r="N105" s="3469" t="s">
        <v>1971</v>
      </c>
    </row>
    <row r="106" spans="1:14">
      <c r="A106" s="3793" t="s">
        <v>3315</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794"/>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794"/>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794"/>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794"/>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794"/>
      <c r="B111" s="3469" t="s">
        <v>3273</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469">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3316</v>
      </c>
      <c r="B113" s="3796"/>
      <c r="C113" s="3796"/>
      <c r="D113" s="3796"/>
      <c r="E113" s="3796"/>
      <c r="F113" s="3796"/>
      <c r="G113" s="3796"/>
      <c r="H113" s="3796"/>
      <c r="I113" s="3796"/>
      <c r="J113" s="3796"/>
      <c r="K113" s="3466"/>
      <c r="L113" s="3466"/>
      <c r="M113" s="3466"/>
      <c r="N113" s="346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3.23</v>
      </c>
      <c r="C116" s="3399" t="s">
        <v>3318</v>
      </c>
      <c r="D116" s="3400">
        <f>SUMPRODUCT((A118:A122=F116)*(B117:M117=H116)*B118:M122)</f>
        <v>0.7046</v>
      </c>
      <c r="E116" s="1999" t="s">
        <v>1935</v>
      </c>
      <c r="F116" s="3401" t="str">
        <f>E2</f>
        <v>工业</v>
      </c>
      <c r="G116" s="1999" t="s">
        <v>1936</v>
      </c>
      <c r="H116" s="3401" t="str">
        <f>G2</f>
        <v>三级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1989</v>
      </c>
      <c r="B118" s="3387">
        <f>ROUND(0.9968-0.011*B116,4)</f>
        <v>0.96130000000000004</v>
      </c>
      <c r="C118" s="3387">
        <f>B118</f>
        <v>0.96130000000000004</v>
      </c>
      <c r="D118" s="3387">
        <f>ROUND(0.949-0.014*B116,4)</f>
        <v>0.90380000000000005</v>
      </c>
      <c r="E118" s="3387">
        <f>D118</f>
        <v>0.90380000000000005</v>
      </c>
      <c r="F118" s="3387">
        <f>E118</f>
        <v>0.90380000000000005</v>
      </c>
      <c r="G118" s="3387">
        <f>F118</f>
        <v>0.90380000000000005</v>
      </c>
      <c r="H118" s="3387">
        <f>G118</f>
        <v>0.90380000000000005</v>
      </c>
      <c r="I118" s="3387">
        <f>ROUND(0.8486-0.018*B116,4)</f>
        <v>0.79049999999999998</v>
      </c>
      <c r="J118" s="3387">
        <f t="shared" ref="J118:M122" si="37">I118</f>
        <v>0.79049999999999998</v>
      </c>
      <c r="K118" s="3387">
        <f t="shared" si="37"/>
        <v>0.79049999999999998</v>
      </c>
      <c r="L118" s="3387">
        <f t="shared" si="37"/>
        <v>0.79049999999999998</v>
      </c>
      <c r="M118" s="3410">
        <f t="shared" si="37"/>
        <v>0.79049999999999998</v>
      </c>
      <c r="N118" s="3397"/>
    </row>
    <row r="119" spans="1:14">
      <c r="A119" s="3409" t="s">
        <v>1990</v>
      </c>
      <c r="B119" s="3387">
        <f>ROUND(0.993-0.0112*B116,4)</f>
        <v>0.95679999999999998</v>
      </c>
      <c r="C119" s="3387">
        <f>B119</f>
        <v>0.95679999999999998</v>
      </c>
      <c r="D119" s="3387">
        <f>ROUND(0.9415-0.0142*B116,4)</f>
        <v>0.89559999999999995</v>
      </c>
      <c r="E119" s="3387">
        <f t="shared" ref="E119:H120" si="38">D119</f>
        <v>0.89559999999999995</v>
      </c>
      <c r="F119" s="3387">
        <f t="shared" si="38"/>
        <v>0.89559999999999995</v>
      </c>
      <c r="G119" s="3387">
        <f t="shared" si="38"/>
        <v>0.89559999999999995</v>
      </c>
      <c r="H119" s="3387">
        <f t="shared" si="38"/>
        <v>0.89559999999999995</v>
      </c>
      <c r="I119" s="3387">
        <f>ROUND(0.838-0.0182*B116,4)</f>
        <v>0.7792</v>
      </c>
      <c r="J119" s="3387">
        <f t="shared" si="37"/>
        <v>0.7792</v>
      </c>
      <c r="K119" s="3387">
        <f t="shared" si="37"/>
        <v>0.7792</v>
      </c>
      <c r="L119" s="3387">
        <f t="shared" si="37"/>
        <v>0.7792</v>
      </c>
      <c r="M119" s="3410">
        <f t="shared" si="37"/>
        <v>0.7792</v>
      </c>
      <c r="N119" s="3397"/>
    </row>
    <row r="120" spans="1:14">
      <c r="A120" s="3409" t="s">
        <v>1991</v>
      </c>
      <c r="B120" s="3387">
        <f>ROUND(0.9448-0.0115*B116,4)</f>
        <v>0.90769999999999995</v>
      </c>
      <c r="C120" s="3387">
        <f>B120</f>
        <v>0.90769999999999995</v>
      </c>
      <c r="D120" s="3387">
        <f>ROUND(0.937-0.0145*B116,4)</f>
        <v>0.89019999999999999</v>
      </c>
      <c r="E120" s="3387">
        <f t="shared" si="38"/>
        <v>0.89019999999999999</v>
      </c>
      <c r="F120" s="3387">
        <f t="shared" si="38"/>
        <v>0.89019999999999999</v>
      </c>
      <c r="G120" s="3387">
        <f t="shared" si="38"/>
        <v>0.89019999999999999</v>
      </c>
      <c r="H120" s="3387">
        <f t="shared" si="38"/>
        <v>0.89019999999999999</v>
      </c>
      <c r="I120" s="3387">
        <f>ROUND(0.7965-0.0185*B116,4)</f>
        <v>0.73670000000000002</v>
      </c>
      <c r="J120" s="3387">
        <f t="shared" si="37"/>
        <v>0.73670000000000002</v>
      </c>
      <c r="K120" s="3387">
        <f t="shared" si="37"/>
        <v>0.73670000000000002</v>
      </c>
      <c r="L120" s="3387">
        <f t="shared" si="37"/>
        <v>0.73670000000000002</v>
      </c>
      <c r="M120" s="3410">
        <f t="shared" si="37"/>
        <v>0.73670000000000002</v>
      </c>
      <c r="N120" s="3397"/>
    </row>
    <row r="121" spans="1:14" ht="13.5" thickBot="1">
      <c r="A121" s="3411" t="s">
        <v>1992</v>
      </c>
      <c r="B121" s="3412">
        <f>ROUND(0.7836-0.012*B116,4)</f>
        <v>0.74480000000000002</v>
      </c>
      <c r="C121" s="3412">
        <f>B121</f>
        <v>0.74480000000000002</v>
      </c>
      <c r="D121" s="3412">
        <f>ROUND(0.753-0.015*B116,4)</f>
        <v>0.7046</v>
      </c>
      <c r="E121" s="3412">
        <f>D121</f>
        <v>0.7046</v>
      </c>
      <c r="F121" s="3412">
        <f>E121</f>
        <v>0.7046</v>
      </c>
      <c r="G121" s="3412">
        <f>ROUND(0.6612-0.018*B116,4)</f>
        <v>0.60309999999999997</v>
      </c>
      <c r="H121" s="3412">
        <f>G121</f>
        <v>0.60309999999999997</v>
      </c>
      <c r="I121" s="3412">
        <f>ROUND(0.5905-0.019*B116,4)</f>
        <v>0.52910000000000001</v>
      </c>
      <c r="J121" s="3412">
        <f t="shared" si="37"/>
        <v>0.52910000000000001</v>
      </c>
      <c r="K121" s="3412">
        <f t="shared" si="37"/>
        <v>0.52910000000000001</v>
      </c>
      <c r="L121" s="3412">
        <f t="shared" si="37"/>
        <v>0.52910000000000001</v>
      </c>
      <c r="M121" s="3413">
        <f t="shared" si="37"/>
        <v>0.52910000000000001</v>
      </c>
      <c r="N121" s="3397"/>
    </row>
    <row r="122" spans="1:14">
      <c r="A122" s="3414" t="s">
        <v>2615</v>
      </c>
      <c r="B122" s="3387">
        <f>ROUND(0.9404-0.0106*B116,4)</f>
        <v>0.90620000000000001</v>
      </c>
      <c r="C122" s="3387">
        <f>B122</f>
        <v>0.90620000000000001</v>
      </c>
      <c r="D122" s="3387">
        <f>ROUND(0.8955-0.0135*B116,4)</f>
        <v>0.85189999999999999</v>
      </c>
      <c r="E122" s="3387">
        <f t="shared" ref="E122:H122" si="39">D122</f>
        <v>0.85189999999999999</v>
      </c>
      <c r="F122" s="3387">
        <f t="shared" si="39"/>
        <v>0.85189999999999999</v>
      </c>
      <c r="G122" s="3387">
        <f t="shared" si="39"/>
        <v>0.85189999999999999</v>
      </c>
      <c r="H122" s="3387">
        <f t="shared" si="39"/>
        <v>0.85189999999999999</v>
      </c>
      <c r="I122" s="3387">
        <f>ROUND(0.7632-0.0166*B116,4)</f>
        <v>0.70960000000000001</v>
      </c>
      <c r="J122" s="3387">
        <f t="shared" si="37"/>
        <v>0.70960000000000001</v>
      </c>
      <c r="K122" s="3387">
        <f t="shared" si="37"/>
        <v>0.70960000000000001</v>
      </c>
      <c r="L122" s="3387">
        <f t="shared" si="37"/>
        <v>0.70960000000000001</v>
      </c>
      <c r="M122" s="3410">
        <f t="shared" si="37"/>
        <v>0.70960000000000001</v>
      </c>
      <c r="N122" s="33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2"/>
      <c r="B4" s="3506" t="s">
        <v>917</v>
      </c>
      <c r="C4" s="3506"/>
      <c r="D4" s="3506"/>
      <c r="E4" s="1492"/>
    </row>
    <row r="5" spans="1:5" ht="16.5" thickTop="1">
      <c r="A5" s="1490"/>
      <c r="B5" s="3504" t="s">
        <v>909</v>
      </c>
      <c r="C5" s="1493" t="s">
        <v>910</v>
      </c>
      <c r="D5" s="850">
        <f ca="1">结果表!H101</f>
        <v>501329</v>
      </c>
      <c r="E5" s="1490"/>
    </row>
    <row r="6" spans="1:5" ht="15.75">
      <c r="A6" s="1490"/>
      <c r="B6" s="3504"/>
      <c r="C6" s="1493" t="s">
        <v>911</v>
      </c>
      <c r="D6" s="850" t="str">
        <f ca="1">NUMBERSTRING(INT(D5*10000),2)&amp;"元整"</f>
        <v>伍拾亿壹仟叁佰贰拾玖万元整</v>
      </c>
      <c r="E6" s="1490"/>
    </row>
    <row r="7" spans="1:5" ht="15.75">
      <c r="A7" s="1490"/>
      <c r="B7" s="3509"/>
      <c r="C7" s="1494" t="s">
        <v>912</v>
      </c>
      <c r="D7" s="851">
        <f ca="1">结果表!H102</f>
        <v>25067</v>
      </c>
      <c r="E7" s="1490"/>
    </row>
    <row r="8" spans="1:5" ht="15.75">
      <c r="A8" s="1490"/>
      <c r="B8" s="3510" t="str">
        <f>结果表!E103</f>
        <v>2.估价师知悉的法定优先受偿款</v>
      </c>
      <c r="C8" s="1495" t="s">
        <v>913</v>
      </c>
      <c r="D8" s="851">
        <f>结果表!H103</f>
        <v>0</v>
      </c>
      <c r="E8" s="1490"/>
    </row>
    <row r="9" spans="1:5" ht="15.75">
      <c r="A9" s="1490"/>
      <c r="B9" s="351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3" t="str">
        <f>结果表!E107</f>
        <v>3.房地产抵押价值</v>
      </c>
      <c r="C13" s="1498" t="s">
        <v>910</v>
      </c>
      <c r="D13" s="853">
        <f ca="1">结果表!H107</f>
        <v>501329</v>
      </c>
      <c r="E13" s="1490"/>
    </row>
    <row r="14" spans="1:5" ht="15.75">
      <c r="A14" s="1490"/>
      <c r="B14" s="3504"/>
      <c r="C14" s="1493" t="s">
        <v>911</v>
      </c>
      <c r="D14" s="850" t="str">
        <f ca="1">NUMBERSTRING(INT(D13*10000),2)&amp;"元整"</f>
        <v>伍拾亿壹仟叁佰贰拾玖万元整</v>
      </c>
      <c r="E14" s="1490"/>
    </row>
    <row r="15" spans="1:5" ht="15">
      <c r="A15" s="1490"/>
      <c r="B15" s="3509"/>
      <c r="C15" s="1494" t="s">
        <v>921</v>
      </c>
      <c r="D15" s="859">
        <f ca="1">结果表!H108</f>
        <v>25067</v>
      </c>
      <c r="E15" s="1490"/>
    </row>
    <row r="16" spans="1:5" ht="15">
      <c r="A16" s="1490"/>
      <c r="B16" s="3510" t="str">
        <f>结果表!E109</f>
        <v>——</v>
      </c>
      <c r="C16" s="1498" t="s">
        <v>922</v>
      </c>
      <c r="D16" s="1499" t="str">
        <f>结果表!H109</f>
        <v>——</v>
      </c>
      <c r="E16" s="1490"/>
    </row>
    <row r="17" spans="1:5" ht="15.75">
      <c r="A17" s="1490"/>
      <c r="B17" s="3511"/>
      <c r="C17" s="1493" t="s">
        <v>923</v>
      </c>
      <c r="D17" s="850" t="e">
        <f>NUMBERSTRING(INT(D16*10000),2)&amp;"元整"</f>
        <v>#VALUE!</v>
      </c>
      <c r="E17" s="1490"/>
    </row>
    <row r="18" spans="1:5" ht="15">
      <c r="A18" s="1490"/>
      <c r="B18" s="3512"/>
      <c r="C18" s="1494" t="s">
        <v>912</v>
      </c>
      <c r="D18" s="859" t="str">
        <f>结果表!H110</f>
        <v>——</v>
      </c>
      <c r="E18" s="1490"/>
    </row>
    <row r="19" spans="1:5" ht="15.75">
      <c r="A19" s="1490"/>
      <c r="B19" s="3503" t="str">
        <f>结果表!E111</f>
        <v>——</v>
      </c>
      <c r="C19" s="1498" t="s">
        <v>910</v>
      </c>
      <c r="D19" s="851" t="str">
        <f>结果表!H111</f>
        <v>——</v>
      </c>
      <c r="E19" s="1490"/>
    </row>
    <row r="20" spans="1:5" ht="15.75">
      <c r="A20" s="1490"/>
      <c r="B20" s="3504"/>
      <c r="C20" s="1493" t="s">
        <v>923</v>
      </c>
      <c r="D20" s="850" t="e">
        <f>NUMBERSTRING(INT(D19*10000),2)&amp;"元整"</f>
        <v>#VALUE!</v>
      </c>
      <c r="E20" s="1490"/>
    </row>
    <row r="21" spans="1:5" ht="15.75" thickBot="1">
      <c r="A21" s="1490"/>
      <c r="B21" s="350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8" zoomScale="70" zoomScaleNormal="70" workbookViewId="0">
      <selection activeCell="C51" sqref="A51:XFD51"/>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19" t="s">
        <v>2610</v>
      </c>
      <c r="B20" s="3812" t="s">
        <v>2631</v>
      </c>
      <c r="C20" s="3102" t="s">
        <v>2442</v>
      </c>
      <c r="D20" s="3103"/>
      <c r="E20" s="3104">
        <v>1</v>
      </c>
      <c r="F20" s="3105" t="s">
        <v>2443</v>
      </c>
      <c r="G20" s="3105"/>
    </row>
    <row r="21" spans="1:13" ht="19.5" customHeight="1">
      <c r="A21" s="3820"/>
      <c r="B21" s="3813"/>
      <c r="C21" s="3106" t="s">
        <v>2444</v>
      </c>
      <c r="D21" s="3107"/>
      <c r="E21" s="3108">
        <v>1</v>
      </c>
      <c r="F21" s="3105" t="s">
        <v>2445</v>
      </c>
      <c r="G21" s="3105"/>
    </row>
    <row r="22" spans="1:13" ht="19.5" customHeight="1">
      <c r="A22" s="3820"/>
      <c r="B22" s="3813"/>
      <c r="C22" s="3106" t="s">
        <v>2446</v>
      </c>
      <c r="D22" s="3107"/>
      <c r="E22" s="3108">
        <v>0.9</v>
      </c>
      <c r="F22" s="3105" t="s">
        <v>2447</v>
      </c>
      <c r="G22" s="3105"/>
    </row>
    <row r="23" spans="1:13" ht="19.5" customHeight="1">
      <c r="A23" s="3820"/>
      <c r="B23" s="3813"/>
      <c r="C23" s="3106" t="s">
        <v>2448</v>
      </c>
      <c r="D23" s="3107"/>
      <c r="E23" s="3108">
        <v>0.9</v>
      </c>
      <c r="F23" s="3105" t="s">
        <v>2449</v>
      </c>
      <c r="G23" s="3105"/>
    </row>
    <row r="24" spans="1:13" ht="19.5" customHeight="1">
      <c r="A24" s="3820"/>
      <c r="B24" s="3813"/>
      <c r="C24" s="3106" t="s">
        <v>2450</v>
      </c>
      <c r="D24" s="3107"/>
      <c r="E24" s="3108">
        <v>0.8</v>
      </c>
      <c r="F24" s="3105" t="s">
        <v>2451</v>
      </c>
      <c r="G24" s="3105"/>
    </row>
    <row r="25" spans="1:13" ht="19.5" customHeight="1" thickBot="1">
      <c r="A25" s="3821"/>
      <c r="B25" s="3814"/>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15" t="s">
        <v>2634</v>
      </c>
      <c r="B27" s="3812" t="s">
        <v>2615</v>
      </c>
      <c r="C27" s="3102" t="s">
        <v>2455</v>
      </c>
      <c r="D27" s="3103"/>
      <c r="E27" s="3104">
        <v>1</v>
      </c>
      <c r="F27" s="3105" t="s">
        <v>2456</v>
      </c>
      <c r="G27" s="3105"/>
    </row>
    <row r="28" spans="1:13" ht="19.5" customHeight="1">
      <c r="A28" s="3816"/>
      <c r="B28" s="3813"/>
      <c r="C28" s="3106" t="s">
        <v>2457</v>
      </c>
      <c r="D28" s="3107"/>
      <c r="E28" s="3108">
        <v>1</v>
      </c>
      <c r="F28" s="3105" t="s">
        <v>2458</v>
      </c>
      <c r="G28" s="3105"/>
    </row>
    <row r="29" spans="1:13" ht="19.5" customHeight="1">
      <c r="A29" s="3816"/>
      <c r="B29" s="3813"/>
      <c r="C29" s="3106" t="s">
        <v>2459</v>
      </c>
      <c r="D29" s="3107"/>
      <c r="E29" s="3108">
        <v>0.8</v>
      </c>
      <c r="F29" s="3105" t="s">
        <v>2460</v>
      </c>
      <c r="G29" s="3105"/>
    </row>
    <row r="30" spans="1:13" ht="19.5" customHeight="1">
      <c r="A30" s="3816"/>
      <c r="B30" s="3813"/>
      <c r="C30" s="3106" t="s">
        <v>2461</v>
      </c>
      <c r="D30" s="3107"/>
      <c r="E30" s="3108">
        <v>0.8</v>
      </c>
      <c r="F30" s="3105" t="s">
        <v>2462</v>
      </c>
      <c r="G30" s="3105"/>
    </row>
    <row r="31" spans="1:13" ht="19.5" customHeight="1">
      <c r="A31" s="3816"/>
      <c r="B31" s="3813"/>
      <c r="C31" s="3106" t="s">
        <v>2463</v>
      </c>
      <c r="D31" s="3107"/>
      <c r="E31" s="3108">
        <v>0.8</v>
      </c>
      <c r="F31" s="3105" t="s">
        <v>2464</v>
      </c>
      <c r="G31" s="3105"/>
    </row>
    <row r="32" spans="1:13" ht="19.5" customHeight="1">
      <c r="A32" s="3816"/>
      <c r="B32" s="3813"/>
      <c r="C32" s="3106" t="s">
        <v>2465</v>
      </c>
      <c r="D32" s="3107"/>
      <c r="E32" s="3108">
        <v>0.7</v>
      </c>
      <c r="F32" s="3105" t="s">
        <v>2466</v>
      </c>
      <c r="G32" s="3105"/>
    </row>
    <row r="33" spans="1:7" ht="19.5" customHeight="1">
      <c r="A33" s="3816"/>
      <c r="B33" s="3813"/>
      <c r="C33" s="3106" t="s">
        <v>2467</v>
      </c>
      <c r="D33" s="3107"/>
      <c r="E33" s="3108">
        <v>0.8</v>
      </c>
      <c r="F33" s="3105" t="s">
        <v>2468</v>
      </c>
      <c r="G33" s="3105"/>
    </row>
    <row r="34" spans="1:7" ht="19.5" customHeight="1">
      <c r="A34" s="3816"/>
      <c r="B34" s="3813"/>
      <c r="C34" s="3106" t="s">
        <v>2469</v>
      </c>
      <c r="D34" s="3107"/>
      <c r="E34" s="3108">
        <v>0.6</v>
      </c>
      <c r="F34" s="3105" t="s">
        <v>2470</v>
      </c>
      <c r="G34" s="3105"/>
    </row>
    <row r="35" spans="1:7" ht="19.5" customHeight="1">
      <c r="A35" s="3816"/>
      <c r="B35" s="3813"/>
      <c r="C35" s="3106" t="s">
        <v>2471</v>
      </c>
      <c r="D35" s="3107"/>
      <c r="E35" s="3108">
        <v>0.2</v>
      </c>
      <c r="F35" s="3105" t="s">
        <v>2472</v>
      </c>
      <c r="G35" s="3105"/>
    </row>
    <row r="36" spans="1:7" ht="19.5" customHeight="1">
      <c r="A36" s="3816"/>
      <c r="B36" s="3813"/>
      <c r="C36" s="3106" t="s">
        <v>2473</v>
      </c>
      <c r="D36" s="3107"/>
      <c r="E36" s="3108">
        <v>0.2</v>
      </c>
      <c r="F36" s="3105" t="s">
        <v>2474</v>
      </c>
      <c r="G36" s="3105"/>
    </row>
    <row r="37" spans="1:7" ht="19.5" customHeight="1">
      <c r="A37" s="3816"/>
      <c r="B37" s="3818" t="s">
        <v>2635</v>
      </c>
      <c r="C37" s="3106" t="s">
        <v>2475</v>
      </c>
      <c r="D37" s="3107"/>
      <c r="E37" s="3108">
        <v>0.6</v>
      </c>
      <c r="F37" s="3105" t="s">
        <v>2476</v>
      </c>
      <c r="G37" s="3105"/>
    </row>
    <row r="38" spans="1:7" ht="19.5" customHeight="1">
      <c r="A38" s="3816"/>
      <c r="B38" s="3813"/>
      <c r="C38" s="3106" t="s">
        <v>2477</v>
      </c>
      <c r="D38" s="3107"/>
      <c r="E38" s="3108">
        <v>0.6</v>
      </c>
      <c r="F38" s="3105" t="s">
        <v>2478</v>
      </c>
      <c r="G38" s="3105"/>
    </row>
    <row r="39" spans="1:7" ht="19.5" customHeight="1" thickBot="1">
      <c r="A39" s="3817"/>
      <c r="B39" s="3814"/>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19" t="s">
        <v>2613</v>
      </c>
      <c r="B41" s="3812" t="s">
        <v>2637</v>
      </c>
      <c r="C41" s="3102" t="s">
        <v>2482</v>
      </c>
      <c r="D41" s="3103"/>
      <c r="E41" s="3104">
        <v>1</v>
      </c>
      <c r="F41" s="3105" t="s">
        <v>2483</v>
      </c>
      <c r="G41" s="3105"/>
    </row>
    <row r="42" spans="1:7" ht="19.5" customHeight="1">
      <c r="A42" s="3820"/>
      <c r="B42" s="3813"/>
      <c r="C42" s="3106" t="s">
        <v>2484</v>
      </c>
      <c r="D42" s="3107"/>
      <c r="E42" s="3108">
        <v>1</v>
      </c>
      <c r="F42" s="3105" t="s">
        <v>2485</v>
      </c>
      <c r="G42" s="3105"/>
    </row>
    <row r="43" spans="1:7" ht="19.5" customHeight="1">
      <c r="A43" s="3820"/>
      <c r="B43" s="3822"/>
      <c r="C43" s="3106" t="s">
        <v>2486</v>
      </c>
      <c r="D43" s="3107"/>
      <c r="E43" s="3108">
        <v>1.5</v>
      </c>
      <c r="F43" s="3105" t="s">
        <v>2487</v>
      </c>
      <c r="G43" s="3105"/>
    </row>
    <row r="44" spans="1:7" ht="19.5" customHeight="1">
      <c r="A44" s="3820"/>
      <c r="B44" s="3117" t="s">
        <v>2638</v>
      </c>
      <c r="C44" s="3106" t="s">
        <v>2639</v>
      </c>
      <c r="D44" s="3107"/>
      <c r="E44" s="3108">
        <v>2</v>
      </c>
      <c r="F44" s="3105" t="s">
        <v>2488</v>
      </c>
      <c r="G44" s="3105"/>
    </row>
    <row r="45" spans="1:7" ht="19.5" customHeight="1">
      <c r="A45" s="3820"/>
      <c r="B45" s="3818" t="s">
        <v>2640</v>
      </c>
      <c r="C45" s="3106" t="s">
        <v>2489</v>
      </c>
      <c r="D45" s="3107"/>
      <c r="E45" s="3108">
        <v>1</v>
      </c>
      <c r="F45" s="3105" t="s">
        <v>2490</v>
      </c>
      <c r="G45" s="3105"/>
    </row>
    <row r="46" spans="1:7" ht="19.5" customHeight="1">
      <c r="A46" s="3820"/>
      <c r="B46" s="3813"/>
      <c r="C46" s="3106" t="s">
        <v>2491</v>
      </c>
      <c r="D46" s="3107"/>
      <c r="E46" s="3108">
        <v>1</v>
      </c>
      <c r="F46" s="3105" t="s">
        <v>2492</v>
      </c>
      <c r="G46" s="3105"/>
    </row>
    <row r="47" spans="1:7" ht="19.5" customHeight="1">
      <c r="A47" s="3820"/>
      <c r="B47" s="3813"/>
      <c r="C47" s="3106" t="s">
        <v>2493</v>
      </c>
      <c r="D47" s="3107"/>
      <c r="E47" s="3108">
        <v>1</v>
      </c>
      <c r="F47" s="3105" t="s">
        <v>2494</v>
      </c>
      <c r="G47" s="3105"/>
    </row>
    <row r="48" spans="1:7" ht="19.5" customHeight="1">
      <c r="A48" s="3820"/>
      <c r="B48" s="3813"/>
      <c r="C48" s="3106" t="s">
        <v>2495</v>
      </c>
      <c r="D48" s="3107"/>
      <c r="E48" s="3108">
        <v>1</v>
      </c>
      <c r="F48" s="3105" t="s">
        <v>2496</v>
      </c>
      <c r="G48" s="3105"/>
    </row>
    <row r="49" spans="1:7" ht="19.5" customHeight="1">
      <c r="A49" s="3820"/>
      <c r="B49" s="3813"/>
      <c r="C49" s="3106" t="s">
        <v>2497</v>
      </c>
      <c r="D49" s="3107"/>
      <c r="E49" s="3108">
        <v>1</v>
      </c>
      <c r="F49" s="3105" t="s">
        <v>2498</v>
      </c>
      <c r="G49" s="3105"/>
    </row>
    <row r="50" spans="1:7" ht="19.5" customHeight="1">
      <c r="A50" s="3820"/>
      <c r="B50" s="3813"/>
      <c r="C50" s="3106" t="s">
        <v>2499</v>
      </c>
      <c r="D50" s="3107"/>
      <c r="E50" s="3108">
        <v>1</v>
      </c>
      <c r="F50" s="3105" t="s">
        <v>2500</v>
      </c>
      <c r="G50" s="3105"/>
    </row>
    <row r="51" spans="1:7" ht="19.5" customHeight="1" thickBot="1">
      <c r="A51" s="3821"/>
      <c r="B51" s="3814"/>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18" t="s">
        <v>2654</v>
      </c>
      <c r="C73" s="3091" t="s">
        <v>2655</v>
      </c>
      <c r="D73" s="3091" t="s">
        <v>2656</v>
      </c>
      <c r="E73" s="3117">
        <v>0.2</v>
      </c>
      <c r="F73" s="3117">
        <v>25</v>
      </c>
    </row>
    <row r="74" spans="1:7" ht="24">
      <c r="A74" s="3117">
        <v>2</v>
      </c>
      <c r="B74" s="3813"/>
      <c r="C74" s="3091" t="s">
        <v>2657</v>
      </c>
      <c r="D74" s="3091" t="s">
        <v>2658</v>
      </c>
      <c r="E74" s="3117">
        <v>0.2</v>
      </c>
      <c r="F74" s="3117">
        <v>25</v>
      </c>
    </row>
    <row r="75" spans="1:7" ht="24">
      <c r="A75" s="3117">
        <v>3</v>
      </c>
      <c r="B75" s="3813"/>
      <c r="C75" s="3091" t="s">
        <v>2659</v>
      </c>
      <c r="D75" s="3091" t="s">
        <v>2660</v>
      </c>
      <c r="E75" s="3117">
        <v>0.2</v>
      </c>
      <c r="F75" s="3117">
        <v>25</v>
      </c>
    </row>
    <row r="76" spans="1:7" ht="13.5">
      <c r="A76" s="3117">
        <v>4</v>
      </c>
      <c r="B76" s="3813"/>
      <c r="C76" s="3091" t="s">
        <v>2661</v>
      </c>
      <c r="D76" s="3091" t="s">
        <v>2662</v>
      </c>
      <c r="E76" s="3117">
        <v>0.15</v>
      </c>
      <c r="F76" s="3117">
        <v>20</v>
      </c>
    </row>
    <row r="77" spans="1:7" ht="24">
      <c r="A77" s="3117">
        <v>5</v>
      </c>
      <c r="B77" s="3813"/>
      <c r="C77" s="3091" t="s">
        <v>2663</v>
      </c>
      <c r="D77" s="3091" t="s">
        <v>2664</v>
      </c>
      <c r="E77" s="3117">
        <v>0.15</v>
      </c>
      <c r="F77" s="3117">
        <v>20</v>
      </c>
    </row>
    <row r="78" spans="1:7" ht="24">
      <c r="A78" s="3117">
        <v>6</v>
      </c>
      <c r="B78" s="3813"/>
      <c r="C78" s="3091" t="s">
        <v>2665</v>
      </c>
      <c r="D78" s="3091" t="s">
        <v>2666</v>
      </c>
      <c r="E78" s="3117">
        <v>0.15</v>
      </c>
      <c r="F78" s="3117">
        <v>20</v>
      </c>
    </row>
    <row r="79" spans="1:7" ht="24">
      <c r="A79" s="3117">
        <v>7</v>
      </c>
      <c r="B79" s="3813"/>
      <c r="C79" s="3091" t="s">
        <v>2667</v>
      </c>
      <c r="D79" s="3091" t="s">
        <v>2668</v>
      </c>
      <c r="E79" s="3117">
        <v>0.15</v>
      </c>
      <c r="F79" s="3117">
        <v>20</v>
      </c>
    </row>
    <row r="80" spans="1:7" ht="24">
      <c r="A80" s="3117">
        <v>8</v>
      </c>
      <c r="B80" s="3813"/>
      <c r="C80" s="3091" t="s">
        <v>2669</v>
      </c>
      <c r="D80" s="3091" t="s">
        <v>2670</v>
      </c>
      <c r="E80" s="3117">
        <v>0.1</v>
      </c>
      <c r="F80" s="3117">
        <v>15</v>
      </c>
    </row>
    <row r="81" spans="1:6" ht="24">
      <c r="A81" s="3117">
        <v>9</v>
      </c>
      <c r="B81" s="3813"/>
      <c r="C81" s="3091" t="s">
        <v>2671</v>
      </c>
      <c r="D81" s="3091" t="s">
        <v>2672</v>
      </c>
      <c r="E81" s="3117">
        <v>0.1</v>
      </c>
      <c r="F81" s="3117">
        <v>15</v>
      </c>
    </row>
    <row r="82" spans="1:6" ht="24">
      <c r="A82" s="3117">
        <v>10</v>
      </c>
      <c r="B82" s="3813"/>
      <c r="C82" s="3091" t="s">
        <v>2673</v>
      </c>
      <c r="D82" s="3091" t="s">
        <v>2674</v>
      </c>
      <c r="E82" s="3117">
        <v>0.1</v>
      </c>
      <c r="F82" s="3117">
        <v>15</v>
      </c>
    </row>
    <row r="83" spans="1:6" ht="24">
      <c r="A83" s="3117">
        <v>11</v>
      </c>
      <c r="B83" s="3813"/>
      <c r="C83" s="3091" t="s">
        <v>2675</v>
      </c>
      <c r="D83" s="3091" t="s">
        <v>2676</v>
      </c>
      <c r="E83" s="3117">
        <v>0.1</v>
      </c>
      <c r="F83" s="3117">
        <v>15</v>
      </c>
    </row>
    <row r="84" spans="1:6" ht="24">
      <c r="A84" s="3117">
        <v>12</v>
      </c>
      <c r="B84" s="3813"/>
      <c r="C84" s="3091" t="s">
        <v>2677</v>
      </c>
      <c r="D84" s="3091" t="s">
        <v>2678</v>
      </c>
      <c r="E84" s="3117">
        <v>0.1</v>
      </c>
      <c r="F84" s="3117">
        <v>15</v>
      </c>
    </row>
    <row r="85" spans="1:6" ht="13.5">
      <c r="A85" s="3117">
        <v>13</v>
      </c>
      <c r="B85" s="3813"/>
      <c r="C85" s="3091" t="s">
        <v>2679</v>
      </c>
      <c r="D85" s="3091" t="s">
        <v>2680</v>
      </c>
      <c r="E85" s="3117">
        <v>0.1</v>
      </c>
      <c r="F85" s="3117">
        <v>15</v>
      </c>
    </row>
    <row r="86" spans="1:6" ht="13.5">
      <c r="A86" s="3117">
        <v>14</v>
      </c>
      <c r="B86" s="3813"/>
      <c r="C86" s="3091" t="s">
        <v>2681</v>
      </c>
      <c r="D86" s="3091" t="s">
        <v>2682</v>
      </c>
      <c r="E86" s="3117">
        <v>0.1</v>
      </c>
      <c r="F86" s="3117">
        <v>15</v>
      </c>
    </row>
    <row r="87" spans="1:6" ht="13.5">
      <c r="A87" s="3117">
        <v>15</v>
      </c>
      <c r="B87" s="3813"/>
      <c r="C87" s="3091" t="s">
        <v>2683</v>
      </c>
      <c r="D87" s="3091" t="s">
        <v>2684</v>
      </c>
      <c r="E87" s="3117">
        <v>0.1</v>
      </c>
      <c r="F87" s="3117">
        <v>15</v>
      </c>
    </row>
    <row r="88" spans="1:6" ht="24">
      <c r="A88" s="3117">
        <v>16</v>
      </c>
      <c r="B88" s="3813"/>
      <c r="C88" s="3091" t="s">
        <v>2685</v>
      </c>
      <c r="D88" s="3091" t="s">
        <v>2686</v>
      </c>
      <c r="E88" s="3117">
        <v>0.1</v>
      </c>
      <c r="F88" s="3117">
        <v>15</v>
      </c>
    </row>
    <row r="89" spans="1:6" ht="24">
      <c r="A89" s="3117">
        <v>17</v>
      </c>
      <c r="B89" s="3822"/>
      <c r="C89" s="3091" t="s">
        <v>2687</v>
      </c>
      <c r="D89" s="3091" t="s">
        <v>2688</v>
      </c>
      <c r="E89" s="3117">
        <v>0.1</v>
      </c>
      <c r="F89" s="3117">
        <v>15</v>
      </c>
    </row>
    <row r="90" spans="1:6" ht="13.5">
      <c r="A90" s="3117">
        <v>18</v>
      </c>
      <c r="B90" s="3818" t="s">
        <v>2689</v>
      </c>
      <c r="C90" s="3091" t="s">
        <v>2690</v>
      </c>
      <c r="D90" s="3091" t="s">
        <v>2691</v>
      </c>
      <c r="E90" s="3117">
        <v>0.2</v>
      </c>
      <c r="F90" s="3117">
        <v>25</v>
      </c>
    </row>
    <row r="91" spans="1:6" ht="24">
      <c r="A91" s="3117">
        <v>19</v>
      </c>
      <c r="B91" s="3813"/>
      <c r="C91" s="3091" t="s">
        <v>2692</v>
      </c>
      <c r="D91" s="3091" t="s">
        <v>2693</v>
      </c>
      <c r="E91" s="3117">
        <v>0.2</v>
      </c>
      <c r="F91" s="3117">
        <v>25</v>
      </c>
    </row>
    <row r="92" spans="1:6" ht="13.5">
      <c r="A92" s="3117">
        <v>20</v>
      </c>
      <c r="B92" s="3813"/>
      <c r="C92" s="3091" t="s">
        <v>2694</v>
      </c>
      <c r="D92" s="3091" t="s">
        <v>2695</v>
      </c>
      <c r="E92" s="3117">
        <v>0.15</v>
      </c>
      <c r="F92" s="3117">
        <v>20</v>
      </c>
    </row>
    <row r="93" spans="1:6" ht="13.5">
      <c r="A93" s="3117">
        <v>21</v>
      </c>
      <c r="B93" s="3813"/>
      <c r="C93" s="3091" t="s">
        <v>2696</v>
      </c>
      <c r="D93" s="3091" t="s">
        <v>2697</v>
      </c>
      <c r="E93" s="3117">
        <v>0.15</v>
      </c>
      <c r="F93" s="3117">
        <v>20</v>
      </c>
    </row>
    <row r="94" spans="1:6" ht="13.5">
      <c r="A94" s="3117">
        <v>22</v>
      </c>
      <c r="B94" s="3813"/>
      <c r="C94" s="3091" t="s">
        <v>2698</v>
      </c>
      <c r="D94" s="3091" t="s">
        <v>2699</v>
      </c>
      <c r="E94" s="3117">
        <v>0.15</v>
      </c>
      <c r="F94" s="3117">
        <v>20</v>
      </c>
    </row>
    <row r="95" spans="1:6" ht="36">
      <c r="A95" s="3117">
        <v>23</v>
      </c>
      <c r="B95" s="3813"/>
      <c r="C95" s="3091" t="s">
        <v>2700</v>
      </c>
      <c r="D95" s="3091" t="s">
        <v>2701</v>
      </c>
      <c r="E95" s="3117">
        <v>0.15</v>
      </c>
      <c r="F95" s="3117">
        <v>20</v>
      </c>
    </row>
    <row r="96" spans="1:6" ht="13.5">
      <c r="A96" s="3117">
        <v>24</v>
      </c>
      <c r="B96" s="3813"/>
      <c r="C96" s="3091" t="s">
        <v>2702</v>
      </c>
      <c r="D96" s="3091" t="s">
        <v>2703</v>
      </c>
      <c r="E96" s="3117">
        <v>0.1</v>
      </c>
      <c r="F96" s="3117">
        <v>15</v>
      </c>
    </row>
    <row r="97" spans="1:6" ht="13.5">
      <c r="A97" s="3117">
        <v>25</v>
      </c>
      <c r="B97" s="3813"/>
      <c r="C97" s="3091" t="s">
        <v>2704</v>
      </c>
      <c r="D97" s="3091" t="s">
        <v>2705</v>
      </c>
      <c r="E97" s="3117">
        <v>0.1</v>
      </c>
      <c r="F97" s="3117">
        <v>15</v>
      </c>
    </row>
    <row r="98" spans="1:6" ht="24">
      <c r="A98" s="3117">
        <v>26</v>
      </c>
      <c r="B98" s="3813"/>
      <c r="C98" s="3091" t="s">
        <v>2706</v>
      </c>
      <c r="D98" s="3091" t="s">
        <v>2707</v>
      </c>
      <c r="E98" s="3117">
        <v>0.1</v>
      </c>
      <c r="F98" s="3117">
        <v>15</v>
      </c>
    </row>
    <row r="99" spans="1:6" ht="24">
      <c r="A99" s="3117">
        <v>27</v>
      </c>
      <c r="B99" s="3813"/>
      <c r="C99" s="3091" t="s">
        <v>2708</v>
      </c>
      <c r="D99" s="3091" t="s">
        <v>2709</v>
      </c>
      <c r="E99" s="3117">
        <v>0.1</v>
      </c>
      <c r="F99" s="3117">
        <v>15</v>
      </c>
    </row>
    <row r="100" spans="1:6" ht="13.5">
      <c r="A100" s="3117">
        <v>28</v>
      </c>
      <c r="B100" s="3813"/>
      <c r="C100" s="3091" t="s">
        <v>2710</v>
      </c>
      <c r="D100" s="3091" t="s">
        <v>2711</v>
      </c>
      <c r="E100" s="3117">
        <v>0.1</v>
      </c>
      <c r="F100" s="3117">
        <v>15</v>
      </c>
    </row>
    <row r="101" spans="1:6" ht="13.5">
      <c r="A101" s="3117">
        <v>29</v>
      </c>
      <c r="B101" s="3813"/>
      <c r="C101" s="3091" t="s">
        <v>2712</v>
      </c>
      <c r="D101" s="3091" t="s">
        <v>2713</v>
      </c>
      <c r="E101" s="3117">
        <v>0.1</v>
      </c>
      <c r="F101" s="3117">
        <v>15</v>
      </c>
    </row>
    <row r="102" spans="1:6" ht="13.5">
      <c r="A102" s="3117">
        <v>30</v>
      </c>
      <c r="B102" s="3813"/>
      <c r="C102" s="3091" t="s">
        <v>2714</v>
      </c>
      <c r="D102" s="3091" t="s">
        <v>2715</v>
      </c>
      <c r="E102" s="3117">
        <v>0.1</v>
      </c>
      <c r="F102" s="3117">
        <v>15</v>
      </c>
    </row>
    <row r="103" spans="1:6" ht="24">
      <c r="A103" s="3117">
        <v>31</v>
      </c>
      <c r="B103" s="3813"/>
      <c r="C103" s="3091" t="s">
        <v>2716</v>
      </c>
      <c r="D103" s="3091" t="s">
        <v>2717</v>
      </c>
      <c r="E103" s="3117">
        <v>0.1</v>
      </c>
      <c r="F103" s="3117">
        <v>15</v>
      </c>
    </row>
    <row r="104" spans="1:6" ht="24">
      <c r="A104" s="3117">
        <v>32</v>
      </c>
      <c r="B104" s="3813"/>
      <c r="C104" s="3091" t="s">
        <v>2718</v>
      </c>
      <c r="D104" s="3091" t="s">
        <v>2719</v>
      </c>
      <c r="E104" s="3117">
        <v>0.1</v>
      </c>
      <c r="F104" s="3117">
        <v>15</v>
      </c>
    </row>
    <row r="105" spans="1:6" ht="24">
      <c r="A105" s="3117">
        <v>33</v>
      </c>
      <c r="B105" s="3813"/>
      <c r="C105" s="3091" t="s">
        <v>2720</v>
      </c>
      <c r="D105" s="3091" t="s">
        <v>2721</v>
      </c>
      <c r="E105" s="3117">
        <v>0.1</v>
      </c>
      <c r="F105" s="3117">
        <v>15</v>
      </c>
    </row>
    <row r="106" spans="1:6" ht="24">
      <c r="A106" s="3117">
        <v>34</v>
      </c>
      <c r="B106" s="3822"/>
      <c r="C106" s="3091" t="s">
        <v>2722</v>
      </c>
      <c r="D106" s="3091" t="s">
        <v>2723</v>
      </c>
      <c r="E106" s="3117">
        <v>0.1</v>
      </c>
      <c r="F106" s="3117">
        <v>15</v>
      </c>
    </row>
    <row r="107" spans="1:6" ht="24">
      <c r="A107" s="3117">
        <v>35</v>
      </c>
      <c r="B107" s="3818" t="s">
        <v>2724</v>
      </c>
      <c r="C107" s="3117" t="s">
        <v>2725</v>
      </c>
      <c r="D107" s="3091" t="s">
        <v>2726</v>
      </c>
      <c r="E107" s="3117">
        <v>0.15</v>
      </c>
      <c r="F107" s="3117">
        <v>20</v>
      </c>
    </row>
    <row r="108" spans="1:6" ht="13.5">
      <c r="A108" s="3117">
        <v>36</v>
      </c>
      <c r="B108" s="3813"/>
      <c r="C108" s="3117" t="s">
        <v>2727</v>
      </c>
      <c r="D108" s="3091" t="s">
        <v>2728</v>
      </c>
      <c r="E108" s="3117">
        <v>0.15</v>
      </c>
      <c r="F108" s="3117">
        <v>20</v>
      </c>
    </row>
    <row r="109" spans="1:6" ht="13.5">
      <c r="A109" s="3117">
        <v>37</v>
      </c>
      <c r="B109" s="3813"/>
      <c r="C109" s="3117" t="s">
        <v>2729</v>
      </c>
      <c r="D109" s="3091" t="s">
        <v>2730</v>
      </c>
      <c r="E109" s="3117">
        <v>0.15</v>
      </c>
      <c r="F109" s="3117">
        <v>20</v>
      </c>
    </row>
    <row r="110" spans="1:6" ht="13.5">
      <c r="A110" s="3117">
        <v>38</v>
      </c>
      <c r="B110" s="3813"/>
      <c r="C110" s="3117" t="s">
        <v>2731</v>
      </c>
      <c r="D110" s="3091" t="s">
        <v>2732</v>
      </c>
      <c r="E110" s="3117">
        <v>0.1</v>
      </c>
      <c r="F110" s="3117">
        <v>15</v>
      </c>
    </row>
    <row r="111" spans="1:6" ht="24">
      <c r="A111" s="3117">
        <v>39</v>
      </c>
      <c r="B111" s="3813"/>
      <c r="C111" s="3117" t="s">
        <v>2733</v>
      </c>
      <c r="D111" s="3091" t="s">
        <v>2734</v>
      </c>
      <c r="E111" s="3117">
        <v>0.1</v>
      </c>
      <c r="F111" s="3117">
        <v>15</v>
      </c>
    </row>
    <row r="112" spans="1:6" ht="24">
      <c r="A112" s="3117">
        <v>40</v>
      </c>
      <c r="B112" s="3822"/>
      <c r="C112" s="3117" t="s">
        <v>2735</v>
      </c>
      <c r="D112" s="3091" t="s">
        <v>2736</v>
      </c>
      <c r="E112" s="3117">
        <v>0.1</v>
      </c>
      <c r="F112" s="3117">
        <v>15</v>
      </c>
    </row>
    <row r="113" spans="1:6" ht="13.5">
      <c r="A113" s="3117">
        <v>41</v>
      </c>
      <c r="B113" s="3823" t="s">
        <v>2737</v>
      </c>
      <c r="C113" s="3117" t="s">
        <v>2738</v>
      </c>
      <c r="D113" s="3091" t="s">
        <v>2739</v>
      </c>
      <c r="E113" s="3117">
        <v>0.1</v>
      </c>
      <c r="F113" s="3117">
        <v>15</v>
      </c>
    </row>
    <row r="114" spans="1:6" ht="13.5">
      <c r="A114" s="3117">
        <v>42</v>
      </c>
      <c r="B114" s="3823"/>
      <c r="C114" s="3117" t="s">
        <v>2740</v>
      </c>
      <c r="D114" s="3091" t="s">
        <v>2741</v>
      </c>
      <c r="E114" s="3117">
        <v>0.1</v>
      </c>
      <c r="F114" s="3117">
        <v>15</v>
      </c>
    </row>
    <row r="115" spans="1:6" ht="24">
      <c r="A115" s="3117">
        <v>43</v>
      </c>
      <c r="B115" s="3823"/>
      <c r="C115" s="3117" t="s">
        <v>2742</v>
      </c>
      <c r="D115" s="3091" t="s">
        <v>2743</v>
      </c>
      <c r="E115" s="3117">
        <v>0.1</v>
      </c>
      <c r="F115" s="3117">
        <v>15</v>
      </c>
    </row>
    <row r="116" spans="1:6" ht="13.5">
      <c r="A116" s="3117">
        <v>44</v>
      </c>
      <c r="B116" s="3818" t="s">
        <v>2744</v>
      </c>
      <c r="C116" s="3117" t="s">
        <v>2745</v>
      </c>
      <c r="D116" s="3091" t="s">
        <v>2746</v>
      </c>
      <c r="E116" s="3117">
        <v>0.1</v>
      </c>
      <c r="F116" s="3117">
        <v>15</v>
      </c>
    </row>
    <row r="117" spans="1:6" ht="24">
      <c r="A117" s="3117">
        <v>45</v>
      </c>
      <c r="B117" s="3822"/>
      <c r="C117" s="3091" t="s">
        <v>2747</v>
      </c>
      <c r="D117" s="3091" t="s">
        <v>2748</v>
      </c>
      <c r="E117" s="3117">
        <v>0.1</v>
      </c>
      <c r="F117" s="3117">
        <v>15</v>
      </c>
    </row>
    <row r="118" spans="1:6" ht="24">
      <c r="A118" s="3117">
        <v>46</v>
      </c>
      <c r="B118" s="3818" t="s">
        <v>2749</v>
      </c>
      <c r="C118" s="3117" t="s">
        <v>2750</v>
      </c>
      <c r="D118" s="3091" t="s">
        <v>2751</v>
      </c>
      <c r="E118" s="3117">
        <v>0.1</v>
      </c>
      <c r="F118" s="3117">
        <v>15</v>
      </c>
    </row>
    <row r="119" spans="1:6" ht="24">
      <c r="A119" s="3117">
        <v>47</v>
      </c>
      <c r="B119" s="3822"/>
      <c r="C119" s="3117" t="s">
        <v>2752</v>
      </c>
      <c r="D119" s="3091" t="s">
        <v>2753</v>
      </c>
      <c r="E119" s="3117">
        <v>0.1</v>
      </c>
      <c r="F119" s="3117">
        <v>15</v>
      </c>
    </row>
    <row r="120" spans="1:6" ht="13.5">
      <c r="A120" s="3117">
        <v>48</v>
      </c>
      <c r="B120" s="3818" t="s">
        <v>2754</v>
      </c>
      <c r="C120" s="3117" t="s">
        <v>2755</v>
      </c>
      <c r="D120" s="3091" t="s">
        <v>2756</v>
      </c>
      <c r="E120" s="3117">
        <v>0.1</v>
      </c>
      <c r="F120" s="3117">
        <v>15</v>
      </c>
    </row>
    <row r="121" spans="1:6" ht="13.5">
      <c r="A121" s="3117">
        <v>49</v>
      </c>
      <c r="B121" s="3822"/>
      <c r="C121" s="3117" t="s">
        <v>2757</v>
      </c>
      <c r="D121" s="3091" t="s">
        <v>2758</v>
      </c>
      <c r="E121" s="3117">
        <v>0.1</v>
      </c>
      <c r="F121" s="3117">
        <v>15</v>
      </c>
    </row>
    <row r="122" spans="1:6" ht="24">
      <c r="A122" s="3117">
        <v>50</v>
      </c>
      <c r="B122" s="3823" t="s">
        <v>2759</v>
      </c>
      <c r="C122" s="3117" t="s">
        <v>2760</v>
      </c>
      <c r="D122" s="3091" t="s">
        <v>2761</v>
      </c>
      <c r="E122" s="3117">
        <v>0.1</v>
      </c>
      <c r="F122" s="3117">
        <v>15</v>
      </c>
    </row>
    <row r="123" spans="1:6" ht="24">
      <c r="A123" s="3117">
        <v>51</v>
      </c>
      <c r="B123" s="3823"/>
      <c r="C123" s="3117" t="s">
        <v>2762</v>
      </c>
      <c r="D123" s="3091" t="s">
        <v>2763</v>
      </c>
      <c r="E123" s="3117">
        <v>0.1</v>
      </c>
      <c r="F123" s="3117">
        <v>15</v>
      </c>
    </row>
    <row r="124" spans="1:6" ht="24">
      <c r="A124" s="3117">
        <v>52</v>
      </c>
      <c r="B124" s="3823" t="s">
        <v>2764</v>
      </c>
      <c r="C124" s="3117" t="s">
        <v>2765</v>
      </c>
      <c r="D124" s="3091" t="s">
        <v>2766</v>
      </c>
      <c r="E124" s="3117">
        <v>0.1</v>
      </c>
      <c r="F124" s="3117">
        <v>15</v>
      </c>
    </row>
    <row r="125" spans="1:6" ht="24">
      <c r="A125" s="3117">
        <v>53</v>
      </c>
      <c r="B125" s="382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23" t="s">
        <v>2772</v>
      </c>
      <c r="C127" s="3117" t="s">
        <v>2773</v>
      </c>
      <c r="D127" s="3091" t="s">
        <v>2774</v>
      </c>
      <c r="E127" s="3117">
        <v>0.1</v>
      </c>
      <c r="F127" s="3117">
        <v>15</v>
      </c>
    </row>
    <row r="128" spans="1:6" ht="13.5">
      <c r="A128" s="3117">
        <v>56</v>
      </c>
      <c r="B128" s="3823"/>
      <c r="C128" s="3117" t="s">
        <v>2775</v>
      </c>
      <c r="D128" s="3091" t="s">
        <v>2776</v>
      </c>
      <c r="E128" s="3117">
        <v>0.1</v>
      </c>
      <c r="F128" s="3117">
        <v>15</v>
      </c>
    </row>
    <row r="129" spans="1:6" ht="24">
      <c r="A129" s="3117">
        <v>57</v>
      </c>
      <c r="B129" s="3823"/>
      <c r="C129" s="3117" t="s">
        <v>2777</v>
      </c>
      <c r="D129" s="3091" t="s">
        <v>2778</v>
      </c>
      <c r="E129" s="3117">
        <v>0.1</v>
      </c>
      <c r="F129" s="3117">
        <v>15</v>
      </c>
    </row>
    <row r="130" spans="1:6" ht="24">
      <c r="A130" s="3117">
        <v>58</v>
      </c>
      <c r="B130" s="3823" t="s">
        <v>2779</v>
      </c>
      <c r="C130" s="3117" t="s">
        <v>2780</v>
      </c>
      <c r="D130" s="3091" t="s">
        <v>2781</v>
      </c>
      <c r="E130" s="3117">
        <v>0.1</v>
      </c>
      <c r="F130" s="3117">
        <v>15</v>
      </c>
    </row>
    <row r="131" spans="1:6" ht="13.5">
      <c r="A131" s="3117">
        <v>59</v>
      </c>
      <c r="B131" s="3823"/>
      <c r="C131" s="3117" t="s">
        <v>2782</v>
      </c>
      <c r="D131" s="3091" t="s">
        <v>2783</v>
      </c>
      <c r="E131" s="3117">
        <v>0.1</v>
      </c>
      <c r="F131" s="3117">
        <v>15</v>
      </c>
    </row>
    <row r="132" spans="1:6" ht="13.5">
      <c r="A132" s="3117">
        <v>60</v>
      </c>
      <c r="B132" s="3818" t="s">
        <v>2784</v>
      </c>
      <c r="C132" s="3117" t="s">
        <v>2785</v>
      </c>
      <c r="D132" s="3091" t="s">
        <v>2786</v>
      </c>
      <c r="E132" s="3117">
        <v>0.1</v>
      </c>
      <c r="F132" s="3117">
        <v>15</v>
      </c>
    </row>
    <row r="133" spans="1:6" ht="13.5">
      <c r="A133" s="3117">
        <v>61</v>
      </c>
      <c r="B133" s="382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23" t="s">
        <v>2792</v>
      </c>
      <c r="C135" s="3117" t="s">
        <v>2793</v>
      </c>
      <c r="D135" s="3091" t="s">
        <v>2794</v>
      </c>
      <c r="E135" s="3117">
        <v>0.1</v>
      </c>
      <c r="F135" s="3117">
        <v>15</v>
      </c>
    </row>
    <row r="136" spans="1:6" ht="13.5">
      <c r="A136" s="3117">
        <v>64</v>
      </c>
      <c r="B136" s="382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0.9516</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0.9052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142774</v>
      </c>
      <c r="C2" s="2" t="s">
        <v>106</v>
      </c>
      <c r="D2" s="199"/>
      <c r="E2" s="199"/>
      <c r="F2" s="199"/>
      <c r="G2" s="199"/>
    </row>
    <row r="3" spans="1:7" s="200" customFormat="1" ht="18" customHeight="1" thickBot="1">
      <c r="A3" s="203" t="s">
        <v>58</v>
      </c>
      <c r="B3" s="204">
        <f ca="1">ROUND(B2*10000/'数据-汇总表'!E3,0)</f>
        <v>7139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4000</v>
      </c>
      <c r="D10" s="845">
        <f>'数据-汇总表'!E6</f>
        <v>199991.93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4000</v>
      </c>
      <c r="D19" s="849">
        <f>'数据-汇总表'!E3</f>
        <v>199991.93</v>
      </c>
      <c r="E19" s="211">
        <f>'数据-取费表'!B31</f>
        <v>200</v>
      </c>
      <c r="F19" s="231"/>
      <c r="G19" s="1" t="s">
        <v>436</v>
      </c>
    </row>
    <row r="20" spans="1:7" s="214" customFormat="1" ht="13.5" customHeight="1">
      <c r="A20" s="777" t="s">
        <v>419</v>
      </c>
      <c r="B20" s="210" t="s">
        <v>77</v>
      </c>
      <c r="C20" s="232">
        <f>ROUND((C5+C19)*F20,0)</f>
        <v>738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2675</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428</v>
      </c>
      <c r="D24" s="238"/>
      <c r="E24" s="238"/>
      <c r="F24" s="239"/>
      <c r="G24" s="240" t="s">
        <v>82</v>
      </c>
    </row>
    <row r="25" spans="1:7" s="214" customFormat="1" ht="24">
      <c r="A25" s="780" t="s">
        <v>348</v>
      </c>
      <c r="B25" s="215" t="s">
        <v>420</v>
      </c>
      <c r="C25" s="1105">
        <f ca="1">ROUND(IF('数据-取费表'!B22&lt;=1,C20*F22*'数据-取费表'!B23/2,C20*(POWER((1+F22),'数据-取费表'!B23/2)-1)),0)</f>
        <v>39</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4309</v>
      </c>
      <c r="D27" s="235">
        <f>C29</f>
        <v>5.1000000000000004E-3</v>
      </c>
      <c r="E27" s="236" t="s">
        <v>99</v>
      </c>
      <c r="F27" s="246">
        <f>'数据-取费表'!Q16</f>
        <v>0.17</v>
      </c>
      <c r="G27" s="247" t="s">
        <v>431</v>
      </c>
    </row>
    <row r="28" spans="1:7" s="214" customFormat="1" ht="13.5" customHeight="1">
      <c r="A28" s="780" t="s">
        <v>349</v>
      </c>
      <c r="B28" s="248" t="s">
        <v>424</v>
      </c>
      <c r="C28" s="249">
        <f>ROUND((C5+C19+C20)*F27*'数据-取费表'!B21/'数据-取费表'!B20,0)</f>
        <v>4309</v>
      </c>
      <c r="D28" s="235"/>
      <c r="E28" s="236"/>
      <c r="F28" s="246"/>
      <c r="G28" s="247"/>
    </row>
    <row r="29" spans="1:7" s="214" customFormat="1" ht="13.5" customHeight="1">
      <c r="A29" s="780" t="s">
        <v>347</v>
      </c>
      <c r="B29" s="248" t="s">
        <v>425</v>
      </c>
      <c r="C29" s="238">
        <f>ROUND(C21*F27*'数据-取费表'!B21/'数据-取费表'!B20,4)</f>
        <v>5.1000000000000004E-3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35531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104757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94608</v>
      </c>
      <c r="D34" s="217"/>
      <c r="E34" s="220"/>
      <c r="F34" s="257">
        <f>IF('数据-取费表'!B24=0,1,'数据-取费表'!N16)</f>
        <v>1</v>
      </c>
      <c r="G34" s="219" t="s">
        <v>89</v>
      </c>
    </row>
    <row r="35" spans="1:7" ht="13.5" customHeight="1">
      <c r="A35" s="780" t="s">
        <v>351</v>
      </c>
      <c r="B35" s="215" t="s">
        <v>33</v>
      </c>
      <c r="C35" s="220">
        <f>ROUND(C34*F35,0)</f>
        <v>4730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4000</v>
      </c>
      <c r="D37" s="217">
        <f>'数据-汇总表'!E3</f>
        <v>199991.93</v>
      </c>
      <c r="E37" s="249">
        <f>'数据-取费表'!B35</f>
        <v>200</v>
      </c>
      <c r="F37" s="259"/>
      <c r="G37" s="261" t="s">
        <v>92</v>
      </c>
    </row>
    <row r="38" spans="1:7" ht="13.5" customHeight="1">
      <c r="A38" s="780" t="s">
        <v>354</v>
      </c>
      <c r="B38" s="215" t="s">
        <v>36</v>
      </c>
      <c r="C38" s="220">
        <f>ROUND(C34*F38,0)</f>
        <v>1419</v>
      </c>
      <c r="D38" s="220"/>
      <c r="E38" s="220"/>
      <c r="F38" s="259">
        <f>'数据-取费表'!B36</f>
        <v>1.4999999999999999E-2</v>
      </c>
      <c r="G38" s="219" t="s">
        <v>90</v>
      </c>
    </row>
    <row r="39" spans="1:7" s="214" customFormat="1" ht="13.5" customHeight="1">
      <c r="A39" s="777" t="s">
        <v>338</v>
      </c>
      <c r="B39" s="210" t="s">
        <v>77</v>
      </c>
      <c r="C39" s="232">
        <f>ROUND(C33*F20,0)</f>
        <v>3143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5632</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5468</v>
      </c>
      <c r="D42" s="238"/>
      <c r="E42" s="238"/>
      <c r="F42" s="239"/>
      <c r="G42" s="3688" t="s">
        <v>94</v>
      </c>
    </row>
    <row r="43" spans="1:7" ht="13.5" customHeight="1">
      <c r="A43" s="780" t="s">
        <v>347</v>
      </c>
      <c r="B43" s="215" t="s">
        <v>426</v>
      </c>
      <c r="C43" s="238">
        <f ca="1">ROUND(IF('数据-取费表'!B22&lt;=1,C39*F22*'数据-取费表'!B21/2,C39*(POWER((1+F22),'数据-取费表'!B21/2)-1)),0)</f>
        <v>164</v>
      </c>
      <c r="D43" s="238"/>
      <c r="E43" s="238"/>
      <c r="F43" s="239"/>
      <c r="G43" s="3689"/>
    </row>
    <row r="44" spans="1:7" ht="13.5" customHeight="1">
      <c r="A44" s="780" t="s">
        <v>348</v>
      </c>
      <c r="B44" s="215" t="s">
        <v>428</v>
      </c>
      <c r="C44" s="238">
        <f ca="1">ROUND(IF('数据-取费表'!B22&lt;=1,C40*F22*'数据-取费表'!B21/2,C40*(POWER((1+F22),'数据-取费表'!B21/2)-1)),4)</f>
        <v>1.6000000000000001E-3</v>
      </c>
      <c r="D44" s="238"/>
      <c r="E44" s="238"/>
      <c r="F44" s="239"/>
      <c r="G44" s="3690"/>
    </row>
    <row r="45" spans="1:7" s="214" customFormat="1" ht="13.5" customHeight="1">
      <c r="A45" s="777" t="s">
        <v>341</v>
      </c>
      <c r="B45" s="244" t="s">
        <v>85</v>
      </c>
      <c r="C45" s="245">
        <f>C46</f>
        <v>18343</v>
      </c>
      <c r="D45" s="235">
        <f>C47</f>
        <v>5.1000000000000004E-3</v>
      </c>
      <c r="E45" s="236" t="s">
        <v>102</v>
      </c>
      <c r="F45" s="246"/>
      <c r="G45" s="247" t="s">
        <v>434</v>
      </c>
    </row>
    <row r="46" spans="1:7" s="214" customFormat="1" ht="13.5" customHeight="1">
      <c r="A46" s="780" t="s">
        <v>349</v>
      </c>
      <c r="B46" s="248" t="s">
        <v>427</v>
      </c>
      <c r="C46" s="249">
        <f>ROUND((C33+C39)*F27,0)</f>
        <v>18343</v>
      </c>
      <c r="D46" s="263"/>
      <c r="E46" s="236"/>
      <c r="F46" s="246"/>
      <c r="G46" s="247"/>
    </row>
    <row r="47" spans="1:7" s="214" customFormat="1" ht="13.5" customHeight="1">
      <c r="A47" s="780" t="s">
        <v>347</v>
      </c>
      <c r="B47" s="248" t="s">
        <v>429</v>
      </c>
      <c r="C47" s="238">
        <f>ROUND(C40*F27,4)</f>
        <v>5.1000000000000004E-3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144923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107243</v>
      </c>
      <c r="D51" s="232"/>
      <c r="E51" s="232"/>
      <c r="F51" s="264"/>
      <c r="G51" s="234" t="s">
        <v>37</v>
      </c>
    </row>
    <row r="52" spans="1:7" s="208" customFormat="1" ht="16.5" thickBot="1">
      <c r="A52" s="265" t="s">
        <v>38</v>
      </c>
      <c r="B52" s="266"/>
      <c r="C52" s="267">
        <f ca="1">C31+C51</f>
        <v>142774</v>
      </c>
      <c r="D52" s="266"/>
      <c r="E52" s="266"/>
      <c r="F52" s="266"/>
      <c r="G52" s="268"/>
    </row>
    <row r="55" spans="1:7" ht="15">
      <c r="B55" s="270" t="s">
        <v>39</v>
      </c>
      <c r="C55" s="271"/>
    </row>
    <row r="56" spans="1:7">
      <c r="B56" s="273" t="s">
        <v>40</v>
      </c>
      <c r="C56" s="274">
        <f ca="1">ROUND(C51/C52,3)</f>
        <v>0.751</v>
      </c>
    </row>
    <row r="57" spans="1:7">
      <c r="B57" s="273" t="s">
        <v>41</v>
      </c>
      <c r="C57" s="275">
        <f ca="1">1-C56</f>
        <v>0.249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2844</v>
      </c>
      <c r="B1" s="3826"/>
      <c r="C1" s="3826"/>
      <c r="D1" s="3826"/>
      <c r="E1" s="3826"/>
      <c r="F1" s="3826"/>
      <c r="G1" s="382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2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2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3186</v>
      </c>
      <c r="B1" s="382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9" t="s">
        <v>3237</v>
      </c>
      <c r="B1" s="3829"/>
      <c r="C1" s="3829"/>
      <c r="D1" s="3829"/>
      <c r="E1" s="3829"/>
      <c r="F1" s="383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45182</v>
      </c>
      <c r="B1" s="3209" t="s">
        <v>2843</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31" t="s">
        <v>2831</v>
      </c>
      <c r="S21" s="3832"/>
      <c r="T21" s="3832"/>
      <c r="U21" s="3832"/>
      <c r="V21" s="3832"/>
      <c r="W21" s="3832"/>
      <c r="X21" s="3164"/>
      <c r="Y21" s="3831" t="s">
        <v>2832</v>
      </c>
      <c r="Z21" s="3832"/>
      <c r="AA21" s="3832"/>
      <c r="AB21" s="3832"/>
      <c r="AC21" s="3832"/>
      <c r="AD21" s="383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45182</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
  <sheetViews>
    <sheetView workbookViewId="0">
      <selection activeCell="N21" sqref="N21"/>
    </sheetView>
  </sheetViews>
  <sheetFormatPr defaultRowHeight="13.5"/>
  <cols>
    <col min="1" max="1" width="20" style="3492" customWidth="1"/>
    <col min="2" max="2" width="20" style="3492" hidden="1" customWidth="1"/>
    <col min="3" max="3" width="8.625" style="3492" customWidth="1"/>
    <col min="4" max="4" width="13" style="3492" customWidth="1"/>
    <col min="5" max="5" width="8.125" style="3492" hidden="1" customWidth="1"/>
    <col min="6" max="6" width="7" style="3492" customWidth="1"/>
    <col min="7" max="7" width="16.75" style="3492" customWidth="1"/>
    <col min="8" max="8" width="13.75" style="3492" customWidth="1"/>
    <col min="9" max="9" width="13.625" style="3492" customWidth="1"/>
    <col min="10" max="10" width="11" style="3492" customWidth="1"/>
    <col min="11" max="11" width="11.875" style="3492" customWidth="1"/>
    <col min="12" max="12" width="12.5" style="3492" customWidth="1"/>
    <col min="13" max="13" width="13.625" style="3492" customWidth="1"/>
    <col min="14" max="14" width="11.5" style="3492" customWidth="1"/>
    <col min="15" max="15" width="10" style="3492" customWidth="1"/>
    <col min="16" max="16" width="18" style="3492" customWidth="1"/>
    <col min="17" max="17" width="12.125" style="3492" customWidth="1"/>
    <col min="18" max="18" width="20" style="3492" customWidth="1"/>
    <col min="19" max="16384" width="9" style="3492"/>
  </cols>
  <sheetData>
    <row r="1" spans="1:17">
      <c r="A1" s="3492" t="s">
        <v>3476</v>
      </c>
      <c r="B1" s="3492" t="s">
        <v>3477</v>
      </c>
      <c r="C1" s="3492" t="s">
        <v>3478</v>
      </c>
      <c r="D1" s="3492" t="s">
        <v>3479</v>
      </c>
      <c r="E1" s="3492" t="s">
        <v>3480</v>
      </c>
      <c r="F1" s="3492" t="s">
        <v>3481</v>
      </c>
      <c r="G1" s="3492" t="s">
        <v>3482</v>
      </c>
      <c r="H1" s="3492" t="s">
        <v>3483</v>
      </c>
      <c r="I1" s="3492" t="s">
        <v>3484</v>
      </c>
      <c r="J1" s="3492" t="s">
        <v>3485</v>
      </c>
      <c r="K1" s="3492" t="s">
        <v>3486</v>
      </c>
      <c r="L1" s="3492" t="s">
        <v>3487</v>
      </c>
      <c r="M1" s="3492" t="s">
        <v>3488</v>
      </c>
      <c r="N1" s="3492" t="s">
        <v>3489</v>
      </c>
      <c r="O1" s="3492" t="s">
        <v>3490</v>
      </c>
      <c r="P1" s="3492" t="s">
        <v>3491</v>
      </c>
      <c r="Q1" s="3492" t="s">
        <v>3492</v>
      </c>
    </row>
    <row r="2" spans="1:17" s="3494" customFormat="1">
      <c r="A2" s="3494" t="s">
        <v>3493</v>
      </c>
      <c r="B2" s="3494" t="s">
        <v>3494</v>
      </c>
      <c r="C2" s="3494" t="s">
        <v>3495</v>
      </c>
      <c r="D2" s="3494" t="s">
        <v>3496</v>
      </c>
      <c r="E2" s="3494" t="s">
        <v>3497</v>
      </c>
      <c r="F2" s="3494">
        <v>2.2000000000000002</v>
      </c>
      <c r="G2" s="3494" t="s">
        <v>3498</v>
      </c>
      <c r="H2" s="3494">
        <v>109781.19</v>
      </c>
      <c r="I2" s="3494">
        <v>49900.54</v>
      </c>
      <c r="J2" s="3494" t="s">
        <v>3499</v>
      </c>
      <c r="K2" s="3494">
        <v>227000</v>
      </c>
      <c r="L2" s="3495">
        <v>45141.000497685185</v>
      </c>
      <c r="M2" s="3494">
        <v>227000</v>
      </c>
      <c r="N2" s="3494">
        <v>20677</v>
      </c>
      <c r="O2" s="3494">
        <v>0</v>
      </c>
      <c r="P2" s="3494" t="s">
        <v>3500</v>
      </c>
      <c r="Q2" s="3494">
        <v>46000</v>
      </c>
    </row>
    <row r="3" spans="1:17" s="3494" customFormat="1">
      <c r="A3" s="3494" t="s">
        <v>3501</v>
      </c>
      <c r="B3" s="3494" t="s">
        <v>3502</v>
      </c>
      <c r="C3" s="3494" t="s">
        <v>3495</v>
      </c>
      <c r="D3" s="3494" t="s">
        <v>3496</v>
      </c>
      <c r="E3" s="3494" t="s">
        <v>3497</v>
      </c>
      <c r="F3" s="3494">
        <v>2.2000000000000002</v>
      </c>
      <c r="G3" s="3494" t="s">
        <v>3498</v>
      </c>
      <c r="H3" s="3494">
        <v>72013.08</v>
      </c>
      <c r="I3" s="3494">
        <v>32733.22</v>
      </c>
      <c r="J3" s="3494" t="s">
        <v>3503</v>
      </c>
      <c r="K3" s="3494">
        <v>149000</v>
      </c>
      <c r="L3" s="3495">
        <v>44865.000497685185</v>
      </c>
      <c r="M3" s="3494">
        <v>149000</v>
      </c>
      <c r="N3" s="3494">
        <v>20691</v>
      </c>
      <c r="O3" s="3494">
        <v>0</v>
      </c>
      <c r="P3" s="3494" t="s">
        <v>3504</v>
      </c>
      <c r="Q3" s="3494">
        <v>30000</v>
      </c>
    </row>
    <row r="4" spans="1:17">
      <c r="A4" s="3492" t="s">
        <v>3505</v>
      </c>
      <c r="B4" s="3492" t="s">
        <v>3506</v>
      </c>
      <c r="C4" s="3492" t="s">
        <v>3495</v>
      </c>
      <c r="D4" s="3492" t="s">
        <v>3496</v>
      </c>
      <c r="E4" s="3492" t="s">
        <v>3497</v>
      </c>
      <c r="F4" s="3492">
        <v>2.2000000000000002</v>
      </c>
      <c r="G4" s="3492" t="s">
        <v>3498</v>
      </c>
      <c r="H4" s="3492">
        <v>64914.41</v>
      </c>
      <c r="I4" s="3492">
        <v>29506.55</v>
      </c>
      <c r="J4" s="3492" t="s">
        <v>3503</v>
      </c>
      <c r="K4" s="3492">
        <v>135000</v>
      </c>
      <c r="L4" s="3493">
        <v>44865.000497685185</v>
      </c>
      <c r="M4" s="3492">
        <v>135000</v>
      </c>
      <c r="N4" s="3492">
        <v>20797</v>
      </c>
      <c r="O4" s="3492">
        <v>0</v>
      </c>
      <c r="P4" s="3492" t="s">
        <v>3507</v>
      </c>
      <c r="Q4" s="3492">
        <v>27000</v>
      </c>
    </row>
    <row r="5" spans="1:17">
      <c r="A5" s="3492" t="s">
        <v>3508</v>
      </c>
      <c r="B5" s="3492" t="s">
        <v>3509</v>
      </c>
      <c r="C5" s="3492" t="s">
        <v>3495</v>
      </c>
      <c r="D5" s="3492" t="s">
        <v>3496</v>
      </c>
      <c r="E5" s="3492" t="s">
        <v>3497</v>
      </c>
      <c r="F5" s="3492">
        <v>2.2000000000000002</v>
      </c>
      <c r="G5" s="3492" t="s">
        <v>3498</v>
      </c>
      <c r="H5" s="3492">
        <v>84155.61</v>
      </c>
      <c r="I5" s="3492">
        <v>38252.550000000003</v>
      </c>
      <c r="J5" s="3492" t="s">
        <v>3510</v>
      </c>
      <c r="K5" s="3492">
        <v>175000</v>
      </c>
      <c r="L5" s="3493">
        <v>44495.000497685185</v>
      </c>
      <c r="M5" s="3492">
        <v>175000</v>
      </c>
      <c r="N5" s="3492">
        <v>20795</v>
      </c>
      <c r="O5" s="3492">
        <v>0</v>
      </c>
      <c r="P5" s="3492" t="s">
        <v>3511</v>
      </c>
      <c r="Q5" s="3492">
        <v>35000</v>
      </c>
    </row>
    <row r="6" spans="1:17">
      <c r="A6" s="3492" t="s">
        <v>3512</v>
      </c>
      <c r="B6" s="3492" t="s">
        <v>3513</v>
      </c>
      <c r="C6" s="3492" t="s">
        <v>3495</v>
      </c>
      <c r="D6" s="3492" t="s">
        <v>3496</v>
      </c>
      <c r="E6" s="3492" t="s">
        <v>3497</v>
      </c>
      <c r="F6" s="3492">
        <v>2.2000000000000002</v>
      </c>
      <c r="G6" s="3492" t="s">
        <v>3498</v>
      </c>
      <c r="H6" s="3492">
        <v>66055.39</v>
      </c>
      <c r="I6" s="3492">
        <v>30025.18</v>
      </c>
      <c r="J6" s="3492" t="s">
        <v>3510</v>
      </c>
      <c r="K6" s="3492">
        <v>137000</v>
      </c>
      <c r="L6" s="3493">
        <v>44495.000497685185</v>
      </c>
      <c r="M6" s="3492">
        <v>137000</v>
      </c>
      <c r="N6" s="3492">
        <v>20740</v>
      </c>
      <c r="O6" s="3492">
        <v>0</v>
      </c>
      <c r="P6" s="3492" t="s">
        <v>3514</v>
      </c>
      <c r="Q6" s="3492">
        <v>137000</v>
      </c>
    </row>
    <row r="7" spans="1:17">
      <c r="A7" s="3492" t="s">
        <v>3515</v>
      </c>
      <c r="B7" s="3492" t="s">
        <v>3516</v>
      </c>
      <c r="C7" s="3492" t="s">
        <v>3495</v>
      </c>
      <c r="D7" s="3492" t="s">
        <v>3496</v>
      </c>
      <c r="E7" s="3492" t="s">
        <v>3497</v>
      </c>
      <c r="F7" s="3492">
        <v>2.2000000000000002</v>
      </c>
      <c r="G7" s="3492" t="s">
        <v>3498</v>
      </c>
      <c r="H7" s="3492">
        <v>55267.89</v>
      </c>
      <c r="I7" s="3492">
        <v>25121.77</v>
      </c>
      <c r="J7" s="3492" t="s">
        <v>3510</v>
      </c>
      <c r="K7" s="3492">
        <v>115000</v>
      </c>
      <c r="L7" s="3493">
        <v>44495.000497685185</v>
      </c>
      <c r="M7" s="3492">
        <v>115000</v>
      </c>
      <c r="N7" s="3492">
        <v>20808</v>
      </c>
      <c r="O7" s="3492">
        <v>0</v>
      </c>
      <c r="P7" s="3492" t="s">
        <v>3517</v>
      </c>
      <c r="Q7" s="3492">
        <v>23000</v>
      </c>
    </row>
    <row r="8" spans="1:17" s="3494" customFormat="1">
      <c r="A8" s="3494" t="s">
        <v>3518</v>
      </c>
      <c r="B8" s="3494" t="s">
        <v>3519</v>
      </c>
      <c r="C8" s="3494" t="s">
        <v>3495</v>
      </c>
      <c r="D8" s="3494" t="s">
        <v>3496</v>
      </c>
      <c r="E8" s="3494" t="s">
        <v>3497</v>
      </c>
      <c r="F8" s="3494" t="s">
        <v>3520</v>
      </c>
      <c r="G8" s="3494" t="s">
        <v>3521</v>
      </c>
      <c r="H8" s="3494">
        <v>184800</v>
      </c>
      <c r="I8" s="3494">
        <v>51788.13</v>
      </c>
      <c r="J8" s="3494" t="s">
        <v>3522</v>
      </c>
      <c r="K8" s="3494">
        <v>570500</v>
      </c>
      <c r="L8" s="3495">
        <v>44167.000497685185</v>
      </c>
      <c r="M8" s="3494">
        <v>579500</v>
      </c>
      <c r="N8" s="3494">
        <v>31358</v>
      </c>
      <c r="O8" s="3494">
        <v>1.5800000000000002E-2</v>
      </c>
      <c r="P8" s="3494" t="s">
        <v>3523</v>
      </c>
      <c r="Q8" s="3494">
        <v>115000</v>
      </c>
    </row>
    <row r="9" spans="1:17">
      <c r="A9" s="3492" t="s">
        <v>3524</v>
      </c>
      <c r="B9" s="3492" t="s">
        <v>3525</v>
      </c>
      <c r="C9" s="3492" t="s">
        <v>3495</v>
      </c>
      <c r="D9" s="3492" t="s">
        <v>3496</v>
      </c>
      <c r="E9" s="3492" t="s">
        <v>3497</v>
      </c>
      <c r="F9" s="3492" t="s">
        <v>3526</v>
      </c>
      <c r="G9" s="3492" t="s">
        <v>3527</v>
      </c>
      <c r="H9" s="3492">
        <v>285523</v>
      </c>
      <c r="I9" s="3492">
        <v>70601.070000000007</v>
      </c>
      <c r="J9" s="3492" t="s">
        <v>3528</v>
      </c>
      <c r="K9" s="3492" t="s">
        <v>3529</v>
      </c>
      <c r="L9" s="3493">
        <v>43801.000497685185</v>
      </c>
      <c r="M9" s="3492">
        <v>660900</v>
      </c>
      <c r="N9" s="3492">
        <v>23147</v>
      </c>
      <c r="O9" s="3492">
        <v>0</v>
      </c>
      <c r="P9" s="3492" t="s">
        <v>3530</v>
      </c>
      <c r="Q9" s="3492">
        <v>131000</v>
      </c>
    </row>
    <row r="10" spans="1:17">
      <c r="A10" s="3492" t="s">
        <v>3531</v>
      </c>
      <c r="B10" s="3492" t="s">
        <v>3532</v>
      </c>
      <c r="C10" s="3492" t="s">
        <v>3495</v>
      </c>
      <c r="D10" s="3492" t="s">
        <v>3496</v>
      </c>
      <c r="E10" s="3492" t="s">
        <v>3497</v>
      </c>
      <c r="F10" s="3492" t="s">
        <v>3533</v>
      </c>
      <c r="G10" s="3492" t="s">
        <v>3521</v>
      </c>
      <c r="H10" s="3492">
        <v>61700.6</v>
      </c>
      <c r="I10" s="3492">
        <v>22035.93</v>
      </c>
      <c r="J10" s="3492" t="s">
        <v>3534</v>
      </c>
      <c r="K10" s="3492">
        <v>103700</v>
      </c>
      <c r="L10" s="3493">
        <v>43650.000497685185</v>
      </c>
      <c r="M10" s="3492">
        <v>103700</v>
      </c>
      <c r="N10" s="3492">
        <v>16807</v>
      </c>
      <c r="O10" s="3492">
        <v>0</v>
      </c>
      <c r="P10" s="3492" t="s">
        <v>3535</v>
      </c>
      <c r="Q10" s="3492">
        <v>21000</v>
      </c>
    </row>
    <row r="11" spans="1:17">
      <c r="A11" s="3492" t="s">
        <v>3536</v>
      </c>
      <c r="B11" s="3492" t="s">
        <v>3537</v>
      </c>
      <c r="C11" s="3492" t="s">
        <v>3495</v>
      </c>
      <c r="D11" s="3492" t="s">
        <v>3496</v>
      </c>
      <c r="E11" s="3492" t="s">
        <v>3497</v>
      </c>
      <c r="F11" s="3492" t="s">
        <v>3538</v>
      </c>
      <c r="G11" s="3492" t="s">
        <v>3539</v>
      </c>
      <c r="H11" s="3492">
        <v>96476.82</v>
      </c>
      <c r="I11" s="3492">
        <v>32158.94</v>
      </c>
      <c r="J11" s="3492" t="s">
        <v>3540</v>
      </c>
      <c r="K11" s="3492">
        <v>263800</v>
      </c>
      <c r="L11" s="3493">
        <v>43613.000497685185</v>
      </c>
      <c r="M11" s="3492">
        <v>263800</v>
      </c>
      <c r="N11" s="3492">
        <v>27343</v>
      </c>
      <c r="O11" s="3492">
        <v>0</v>
      </c>
      <c r="P11" s="3492" t="s">
        <v>3541</v>
      </c>
      <c r="Q11" s="3492">
        <v>53000</v>
      </c>
    </row>
    <row r="12" spans="1:17">
      <c r="A12" s="3492" t="s">
        <v>3542</v>
      </c>
      <c r="B12" s="3492" t="s">
        <v>3543</v>
      </c>
      <c r="C12" s="3492" t="s">
        <v>3495</v>
      </c>
      <c r="D12" s="3492" t="s">
        <v>3496</v>
      </c>
      <c r="E12" s="3492" t="s">
        <v>3497</v>
      </c>
      <c r="F12" s="3492">
        <v>5.7</v>
      </c>
      <c r="G12" s="3492" t="s">
        <v>3521</v>
      </c>
      <c r="H12" s="3492">
        <v>86800</v>
      </c>
      <c r="I12" s="3492">
        <v>15240.2</v>
      </c>
      <c r="J12" s="3492" t="s">
        <v>3544</v>
      </c>
      <c r="K12" s="3492">
        <v>237500</v>
      </c>
      <c r="L12" s="3493">
        <v>43055.000497685185</v>
      </c>
      <c r="M12" s="3492">
        <v>242500</v>
      </c>
      <c r="N12" s="3492">
        <v>27938</v>
      </c>
      <c r="O12" s="3492">
        <v>2.1099999999999997E-2</v>
      </c>
      <c r="P12" s="3492" t="s">
        <v>3545</v>
      </c>
      <c r="Q12" s="3492">
        <v>72000</v>
      </c>
    </row>
    <row r="13" spans="1:17">
      <c r="A13" s="3492" t="s">
        <v>3546</v>
      </c>
      <c r="B13" s="3492" t="s">
        <v>3547</v>
      </c>
      <c r="C13" s="3492" t="s">
        <v>3495</v>
      </c>
      <c r="D13" s="3492" t="s">
        <v>3496</v>
      </c>
      <c r="E13" s="3492" t="s">
        <v>3497</v>
      </c>
      <c r="F13" s="3492">
        <v>3.5</v>
      </c>
      <c r="G13" s="3492" t="s">
        <v>3548</v>
      </c>
      <c r="H13" s="3492">
        <v>46644</v>
      </c>
      <c r="I13" s="3492">
        <v>13326.99</v>
      </c>
      <c r="J13" s="3492" t="s">
        <v>3549</v>
      </c>
      <c r="K13" s="3492">
        <v>68000</v>
      </c>
      <c r="L13" s="3493">
        <v>42523.000497685185</v>
      </c>
      <c r="M13" s="3492">
        <v>141000</v>
      </c>
      <c r="N13" s="3492">
        <v>30229</v>
      </c>
      <c r="O13" s="3492">
        <v>1.0734999999999999</v>
      </c>
      <c r="P13" s="3492" t="s">
        <v>3550</v>
      </c>
      <c r="Q13" s="3492">
        <v>20500</v>
      </c>
    </row>
    <row r="14" spans="1:17">
      <c r="A14" s="3492" t="s">
        <v>3551</v>
      </c>
      <c r="B14" s="3492" t="s">
        <v>3552</v>
      </c>
      <c r="C14" s="3492" t="s">
        <v>3495</v>
      </c>
      <c r="D14" s="3492" t="s">
        <v>3496</v>
      </c>
      <c r="E14" s="3492" t="s">
        <v>3497</v>
      </c>
      <c r="F14" s="3492">
        <v>3</v>
      </c>
      <c r="G14" s="3492" t="s">
        <v>3548</v>
      </c>
      <c r="H14" s="3492">
        <v>52889</v>
      </c>
      <c r="I14" s="3492">
        <v>17629.740000000002</v>
      </c>
      <c r="J14" s="3492" t="s">
        <v>3553</v>
      </c>
      <c r="K14" s="3492">
        <v>63500</v>
      </c>
      <c r="L14" s="3493">
        <v>42305.000497685185</v>
      </c>
      <c r="M14" s="3492">
        <v>64200</v>
      </c>
      <c r="N14" s="3492">
        <v>12139</v>
      </c>
      <c r="O14" s="3492">
        <v>1.1000000000000001E-2</v>
      </c>
      <c r="P14" s="3492" t="s">
        <v>3554</v>
      </c>
      <c r="Q14" s="3492">
        <v>19000</v>
      </c>
    </row>
    <row r="15" spans="1:17">
      <c r="A15" s="3492" t="s">
        <v>3555</v>
      </c>
      <c r="B15" s="3492" t="s">
        <v>3556</v>
      </c>
      <c r="C15" s="3492" t="s">
        <v>3495</v>
      </c>
      <c r="D15" s="3492" t="s">
        <v>3496</v>
      </c>
      <c r="E15" s="3492" t="s">
        <v>3497</v>
      </c>
      <c r="F15" s="3492">
        <v>3</v>
      </c>
      <c r="G15" s="3492" t="s">
        <v>3557</v>
      </c>
      <c r="H15" s="3492">
        <v>62041</v>
      </c>
      <c r="I15" s="3492">
        <v>20680.23</v>
      </c>
      <c r="J15" s="3492" t="s">
        <v>3558</v>
      </c>
      <c r="K15" s="3492">
        <v>75000</v>
      </c>
      <c r="L15" s="3493">
        <v>42304.000497685185</v>
      </c>
      <c r="M15" s="3492">
        <v>81000</v>
      </c>
      <c r="N15" s="3492">
        <v>13056</v>
      </c>
      <c r="O15" s="3492">
        <v>0.08</v>
      </c>
      <c r="P15" s="3492" t="s">
        <v>3559</v>
      </c>
      <c r="Q15" s="3492">
        <v>23000</v>
      </c>
    </row>
    <row r="16" spans="1:17">
      <c r="A16" s="3492" t="s">
        <v>3560</v>
      </c>
      <c r="B16" s="3492" t="s">
        <v>3561</v>
      </c>
      <c r="C16" s="3492" t="s">
        <v>3495</v>
      </c>
      <c r="D16" s="3492" t="s">
        <v>3496</v>
      </c>
      <c r="E16" s="3492" t="s">
        <v>3497</v>
      </c>
      <c r="F16" s="3492">
        <v>2.5</v>
      </c>
      <c r="G16" s="3492" t="s">
        <v>3548</v>
      </c>
      <c r="H16" s="3492">
        <v>149376</v>
      </c>
      <c r="I16" s="3492">
        <v>59750.39</v>
      </c>
      <c r="J16" s="3492" t="s">
        <v>3562</v>
      </c>
      <c r="K16" s="3492">
        <v>180000</v>
      </c>
      <c r="L16" s="3493">
        <v>42017.000497685185</v>
      </c>
      <c r="M16" s="3492">
        <v>182700</v>
      </c>
      <c r="N16" s="3492">
        <v>12231</v>
      </c>
      <c r="O16" s="3492">
        <v>1.4999999999999999E-2</v>
      </c>
      <c r="P16" s="3492" t="s">
        <v>3563</v>
      </c>
      <c r="Q16" s="3492">
        <v>54000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15"/>
      <c r="B3" s="3515"/>
      <c r="C3" s="3515"/>
      <c r="D3" s="854" t="s">
        <v>925</v>
      </c>
      <c r="E3" s="854" t="s">
        <v>931</v>
      </c>
      <c r="F3" s="854" t="s">
        <v>925</v>
      </c>
      <c r="G3" s="854" t="s">
        <v>926</v>
      </c>
      <c r="H3" s="854" t="s">
        <v>925</v>
      </c>
      <c r="I3" s="854" t="s">
        <v>926</v>
      </c>
    </row>
    <row r="4" spans="1:9" ht="15">
      <c r="A4" s="1504" t="str">
        <f>项目基本情况!S2</f>
        <v>房地产</v>
      </c>
      <c r="B4" s="854">
        <f>项目基本情况!C17</f>
        <v>199991.93</v>
      </c>
      <c r="C4" s="854">
        <f>项目基本情况!C18</f>
        <v>50687.57</v>
      </c>
      <c r="D4" s="854">
        <f ca="1">结果表!D118</f>
        <v>402066</v>
      </c>
      <c r="E4" s="854">
        <f ca="1">结果表!E118</f>
        <v>20104</v>
      </c>
      <c r="F4" s="854">
        <f ca="1">结果表!F118</f>
        <v>99263</v>
      </c>
      <c r="G4" s="854">
        <f ca="1">结果表!G118</f>
        <v>4963</v>
      </c>
      <c r="H4" s="854">
        <f ca="1">结果表!H118</f>
        <v>501329</v>
      </c>
      <c r="I4" s="854">
        <f ca="1">结果表!I118</f>
        <v>25067</v>
      </c>
    </row>
    <row r="5" spans="1:9" ht="30" customHeight="1">
      <c r="A5" s="3515" t="s">
        <v>927</v>
      </c>
      <c r="B5" s="3515"/>
      <c r="C5" s="3515"/>
      <c r="D5" s="3515" t="str">
        <f ca="1">结果表!D119</f>
        <v>肆拾亿贰仟零陆拾陆万元整</v>
      </c>
      <c r="E5" s="3515"/>
      <c r="F5" s="3515" t="str">
        <f ca="1">结果表!F119</f>
        <v>玖亿玖仟贰佰陆拾叁万元整</v>
      </c>
      <c r="G5" s="3515"/>
      <c r="H5" s="3515" t="str">
        <f ca="1">结果表!H119</f>
        <v>伍拾亿壹仟叁佰贰拾玖万元整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5" t="s">
        <v>927</v>
      </c>
      <c r="B7" s="3515"/>
      <c r="C7" s="3515"/>
      <c r="D7" s="3517" t="str">
        <f>结果表!D121</f>
        <v>零元整</v>
      </c>
      <c r="E7" s="3518"/>
      <c r="F7" s="3518"/>
      <c r="G7" s="3518"/>
      <c r="H7" s="3518"/>
      <c r="I7" s="3519"/>
    </row>
    <row r="8" spans="1:9" ht="15.75">
      <c r="A8" s="3516" t="str">
        <f>结果表!A122</f>
        <v>房地产抵押价值</v>
      </c>
      <c r="B8" s="3516"/>
      <c r="C8" s="3516"/>
      <c r="D8" s="3516">
        <f ca="1">结果表!D122</f>
        <v>501329</v>
      </c>
      <c r="E8" s="3516"/>
      <c r="F8" s="3516"/>
      <c r="G8" s="3516"/>
      <c r="H8" s="3516"/>
      <c r="I8" s="3516"/>
    </row>
    <row r="9" spans="1:9" ht="15">
      <c r="A9" s="3515" t="s">
        <v>927</v>
      </c>
      <c r="B9" s="3515"/>
      <c r="C9" s="3515"/>
      <c r="D9" s="3515" t="str">
        <f ca="1">结果表!D123</f>
        <v>伍拾亿壹仟叁佰贰拾玖万元整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5" t="s">
        <v>927</v>
      </c>
      <c r="B11" s="3515"/>
      <c r="C11" s="3515"/>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4"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943</v>
      </c>
      <c r="B16" s="3528"/>
      <c r="C16" s="3528"/>
      <c r="D16" s="3528"/>
    </row>
    <row r="17" spans="1:4" ht="144" customHeight="1">
      <c r="A17" s="3528" t="s">
        <v>944</v>
      </c>
      <c r="B17" s="3528"/>
      <c r="C17" s="3528"/>
      <c r="D17" s="3528"/>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6" t="s">
        <v>956</v>
      </c>
      <c r="B15" s="3531" t="s">
        <v>109</v>
      </c>
      <c r="C15" s="3532"/>
    </row>
    <row r="16" spans="1:7" ht="13.5">
      <c r="A16" s="3537"/>
      <c r="B16" s="3531" t="s">
        <v>42</v>
      </c>
      <c r="C16" s="3532"/>
    </row>
    <row r="17" spans="1:3" ht="13.5">
      <c r="A17" s="3537"/>
      <c r="B17" s="3534" t="s">
        <v>957</v>
      </c>
      <c r="C17" s="1531" t="s">
        <v>956</v>
      </c>
    </row>
    <row r="18" spans="1:3" ht="13.5">
      <c r="A18" s="3537"/>
      <c r="B18" s="3534"/>
      <c r="C18" s="1531" t="s">
        <v>958</v>
      </c>
    </row>
    <row r="19" spans="1:3" ht="13.5">
      <c r="A19" s="3537"/>
      <c r="B19" s="3534"/>
      <c r="C19" s="1531" t="s">
        <v>959</v>
      </c>
    </row>
    <row r="20" spans="1:3" ht="13.5">
      <c r="A20" s="3538"/>
      <c r="B20" s="3533" t="s">
        <v>960</v>
      </c>
      <c r="C20" s="3532"/>
    </row>
    <row r="21" spans="1:3" ht="13.5">
      <c r="A21" s="1532" t="s">
        <v>961</v>
      </c>
      <c r="B21" s="1533"/>
      <c r="C21" s="1534"/>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31" t="s">
        <v>967</v>
      </c>
    </row>
    <row r="26" spans="1:3" ht="13.5">
      <c r="A26" s="3535"/>
      <c r="B26" s="3534"/>
      <c r="C26" s="1531" t="s">
        <v>968</v>
      </c>
    </row>
    <row r="27" spans="1:3" ht="13.5">
      <c r="A27" s="3535"/>
      <c r="B27" s="3534"/>
      <c r="C27" s="1531" t="s">
        <v>969</v>
      </c>
    </row>
    <row r="28" spans="1:3" ht="13.5">
      <c r="A28" s="3535"/>
      <c r="B28" s="3534"/>
      <c r="C28" s="1531" t="s">
        <v>970</v>
      </c>
    </row>
    <row r="29" spans="1:3" ht="13.5">
      <c r="A29" s="3535"/>
      <c r="B29" s="3534"/>
      <c r="C29" s="1531" t="s">
        <v>971</v>
      </c>
    </row>
    <row r="30" spans="1:3" ht="13.5">
      <c r="A30" s="3535"/>
      <c r="B30" s="3534"/>
      <c r="C30" s="1531" t="s">
        <v>972</v>
      </c>
    </row>
    <row r="31" spans="1:3" ht="13.5">
      <c r="A31" s="3535"/>
      <c r="B31" s="3534"/>
      <c r="C31" s="1531" t="s">
        <v>973</v>
      </c>
    </row>
    <row r="32" spans="1:3" ht="13.5">
      <c r="A32" s="3535"/>
      <c r="B32" s="3534"/>
      <c r="C32" s="1531" t="s">
        <v>974</v>
      </c>
    </row>
    <row r="33" spans="1:3" ht="13.5">
      <c r="A33" s="3535"/>
      <c r="B33" s="353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45351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9" t="s">
        <v>2159</v>
      </c>
      <c r="B17" s="3539"/>
      <c r="C17" s="3539"/>
      <c r="D17" s="3539"/>
      <c r="E17" s="3539"/>
      <c r="F17" s="3539"/>
      <c r="G17" s="3539"/>
      <c r="H17" s="3539"/>
    </row>
    <row r="18" spans="1:8" ht="24" customHeight="1">
      <c r="A18" s="3540" t="s">
        <v>2160</v>
      </c>
      <c r="B18" s="3540"/>
      <c r="C18" s="3540"/>
      <c r="D18" s="2342"/>
      <c r="E18" s="3541" t="s">
        <v>2161</v>
      </c>
      <c r="F18" s="3540"/>
      <c r="G18" s="354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分层面积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收益法(车位)</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基准地价修正(停车楼)</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'基准地价修正(停车楼)'!Print_Area</vt:lpstr>
      <vt:lpstr>假设开发法!Print_Area</vt:lpstr>
      <vt:lpstr>结果表!Print_Area</vt:lpstr>
      <vt:lpstr>收益法!Print_Area</vt:lpstr>
      <vt:lpstr>'收益法 (元)'!Print_Area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'基准地价修正(停车楼)'!季度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2024-02-29T06:29:43Z</dcterms:modified>
</cp:coreProperties>
</file>