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
    </mc:Choice>
  </mc:AlternateContent>
  <bookViews>
    <workbookView xWindow="-120" yWindow="-120" windowWidth="21840" windowHeight="13140" tabRatio="697" firstSheet="3" activeTab="13"/>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44" l="1"/>
  <c r="B14" i="4" l="1"/>
  <c r="F5" i="42" l="1"/>
  <c r="F2" i="42"/>
  <c r="F9" i="42"/>
  <c r="E28" i="1"/>
  <c r="E4" i="44"/>
  <c r="E11" i="44" s="1"/>
  <c r="E8" i="42" l="1"/>
  <c r="F8" i="42" s="1"/>
  <c r="C6" i="42"/>
  <c r="C5" i="42"/>
  <c r="C4" i="42"/>
  <c r="C2" i="42"/>
  <c r="E9" i="42" s="1"/>
  <c r="F650" i="41"/>
  <c r="G9" i="42" l="1"/>
  <c r="C9" i="42" s="1"/>
  <c r="C8" i="42"/>
  <c r="C3" i="42"/>
  <c r="B1" i="4"/>
  <c r="E12" i="44" l="1"/>
  <c r="C10" i="42"/>
  <c r="C7" i="42" s="1"/>
  <c r="C11" i="42" s="1"/>
  <c r="F22" i="1"/>
  <c r="I25" i="1"/>
  <c r="G25" i="1"/>
  <c r="E25" i="1"/>
  <c r="E22" i="1"/>
  <c r="E14" i="4" l="1"/>
  <c r="J13" i="44"/>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<sst xmlns="http://schemas.openxmlformats.org/spreadsheetml/2006/main" count="8762" uniqueCount="1177">
  <si>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</si>
  <si>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</si>
  <si>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</si>
  <si>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</si>
  <si>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</si>
  <si>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</si>
  <si>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</si>
  <si>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</si>
  <si>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</si>
  <si>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</si>
  <si>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</si>
  <si>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</si>
  <si>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</si>
  <si>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</si>
  <si>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</si>
  <si>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</si>
  <si>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</si>
  <si>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</si>
  <si>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</si>
  <si>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</si>
  <si>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</si>
  <si>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</si>
  <si>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</si>
  <si>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</si>
  <si>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</si>
  <si>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</si>
  <si>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</si>
  <si>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</si>
  <si>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</si>
  <si>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</si>
  <si>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</si>
  <si>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</si>
  <si>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</si>
  <si>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</si>
  <si>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</si>
  <si>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</si>
  <si>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</si>
  <si>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</si>
  <si>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</si>
  <si>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</si>
  <si>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</si>
  <si>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</si>
  <si>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</si>
  <si>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</si>
  <si>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</si>
  <si>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</si>
  <si>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</si>
  <si>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</si>
  <si>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</si>
  <si>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</si>
  <si>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</si>
  <si>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</si>
  <si>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</si>
  <si>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</si>
  <si>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</si>
  <si>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</si>
  <si>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</si>
  <si>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</si>
  <si>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</si>
  <si>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</si>
  <si>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</si>
  <si>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</si>
  <si>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</si>
  <si>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</si>
  <si>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</si>
  <si>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</si>
  <si>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</si>
  <si>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</si>
  <si>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</si>
  <si>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</si>
  <si>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</si>
  <si>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</si>
  <si>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</si>
  <si>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</si>
  <si>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</si>
  <si>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</si>
  <si>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</si>
  <si>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</si>
  <si>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</si>
  <si>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</si>
  <si>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</si>
  <si>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</si>
  <si>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</si>
  <si>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</si>
  <si>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</si>
  <si>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</si>
  <si>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</si>
  <si>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</si>
  <si>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</si>
  <si>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</si>
  <si>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</si>
  <si>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</si>
  <si>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</si>
  <si>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</si>
  <si>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</si>
  <si>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</si>
  <si>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</si>
  <si>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</si>
  <si>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</si>
  <si>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</si>
  <si>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</si>
  <si>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</si>
  <si>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</si>
  <si>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</si>
  <si>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</si>
  <si>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</si>
  <si>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</si>
  <si>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</si>
  <si>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</si>
  <si>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</si>
  <si>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</si>
  <si>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</si>
  <si>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</si>
  <si>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</si>
  <si>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</si>
  <si>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</si>
  <si>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</si>
  <si>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</si>
  <si>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</si>
  <si>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</si>
  <si>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</si>
  <si>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</si>
  <si>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</si>
  <si>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</si>
  <si>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</si>
  <si>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</si>
  <si>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</si>
  <si>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</si>
  <si>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</si>
  <si>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</si>
  <si>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</si>
  <si>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</si>
  <si>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</si>
  <si>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</si>
  <si>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</si>
  <si>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</si>
  <si>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</si>
  <si>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</si>
  <si>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</si>
  <si>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</si>
  <si>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</si>
  <si>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</si>
  <si>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</si>
  <si>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</si>
  <si>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</si>
  <si>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</si>
  <si>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</si>
  <si>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</si>
  <si>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</si>
  <si>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</si>
  <si>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</si>
  <si>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</si>
  <si>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</si>
  <si>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</si>
  <si>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</si>
  <si>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</si>
  <si>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</si>
  <si>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</si>
  <si>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</si>
  <si>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</si>
  <si>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</si>
  <si>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</si>
  <si>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</si>
  <si>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</si>
  <si>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</si>
  <si>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</si>
  <si>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</si>
  <si>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</si>
  <si>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</si>
  <si>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</si>
  <si>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</si>
  <si>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</si>
  <si>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</si>
  <si>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</si>
  <si>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</si>
  <si>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</si>
  <si>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</si>
  <si>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</si>
  <si>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</si>
  <si>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</si>
  <si>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</si>
  <si>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</si>
  <si>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</si>
  <si>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</si>
  <si>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</si>
  <si>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</si>
  <si>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</si>
  <si>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</si>
  <si>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</si>
  <si>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</si>
  <si>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</si>
  <si>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</si>
  <si>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</si>
  <si>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</si>
  <si>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</si>
  <si>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</si>
  <si>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</si>
  <si>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</si>
  <si>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</si>
  <si>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</si>
  <si>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</si>
  <si>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</si>
  <si>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</si>
  <si>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</si>
  <si>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</si>
  <si>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</si>
  <si>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</si>
  <si>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</si>
  <si>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</si>
  <si>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</si>
  <si>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</si>
  <si>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</si>
  <si>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</si>
  <si>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</si>
  <si>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</si>
  <si>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</si>
  <si>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</si>
  <si>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</si>
  <si>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</si>
  <si>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</si>
  <si>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</si>
  <si>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</si>
  <si>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</si>
  <si>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</si>
  <si>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</si>
  <si>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</si>
  <si>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</si>
  <si>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</si>
  <si>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</si>
  <si>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</si>
  <si>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</si>
  <si>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</si>
  <si>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</si>
  <si>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</si>
  <si>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</si>
  <si>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</si>
  <si>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</si>
  <si>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</si>
  <si>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</si>
  <si>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</si>
  <si>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</si>
  <si>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</si>
  <si>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</si>
  <si>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</si>
  <si>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</si>
  <si>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</si>
  <si>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</si>
  <si>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</si>
  <si>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</si>
  <si>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</si>
  <si>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</si>
  <si>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</si>
  <si>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</si>
  <si>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</si>
  <si>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</si>
  <si>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</si>
  <si>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</si>
  <si>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</si>
  <si>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</si>
  <si>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</si>
  <si>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</si>
  <si>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</si>
  <si>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</si>
  <si>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</si>
  <si>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</si>
  <si>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</si>
  <si>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</si>
  <si>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</si>
  <si>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</si>
  <si>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</si>
  <si>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</si>
  <si>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</si>
  <si>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</si>
  <si>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</si>
  <si>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</si>
  <si>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</si>
  <si>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</si>
  <si>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</si>
  <si>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</si>
  <si>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</si>
  <si>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</si>
  <si>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</si>
  <si>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</si>
  <si>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</si>
  <si>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</si>
  <si>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</si>
  <si>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</si>
  <si>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</si>
  <si>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</si>
  <si>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</si>
  <si>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</si>
  <si>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</si>
  <si>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</si>
  <si>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</si>
  <si>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</si>
  <si>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</si>
  <si>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</si>
  <si>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</si>
  <si>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</si>
  <si>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</si>
  <si>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</si>
  <si>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</si>
  <si>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</si>
  <si>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</si>
  <si>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</si>
  <si>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</si>
  <si>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</si>
  <si>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</si>
  <si>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</si>
  <si>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</si>
  <si>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</si>
  <si>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</si>
  <si>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</si>
  <si>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</si>
  <si>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</si>
  <si>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</si>
  <si>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</si>
  <si>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</si>
  <si>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</si>
  <si>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</si>
  <si>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</si>
  <si>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</si>
  <si>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</si>
  <si>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</si>
  <si>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</si>
  <si>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</si>
  <si>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</si>
  <si>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</si>
  <si>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</si>
  <si>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</si>
  <si>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</si>
  <si>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</si>
  <si>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</si>
  <si>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</si>
  <si>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</si>
  <si>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</si>
  <si>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</si>
  <si>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</si>
  <si>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</si>
  <si>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</si>
  <si>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</si>
  <si>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</si>
  <si>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</si>
  <si>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</si>
  <si>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</si>
  <si>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</si>
  <si>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</si>
  <si>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</si>
  <si>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</si>
  <si>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</si>
  <si>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</si>
  <si>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</si>
  <si>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</si>
  <si>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</si>
  <si>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</si>
  <si>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</si>
  <si>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</si>
  <si>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</si>
  <si>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</si>
  <si>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</si>
  <si>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</si>
  <si>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</si>
  <si>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</si>
  <si>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</si>
  <si>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</si>
  <si>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</si>
  <si>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</si>
  <si>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</si>
  <si>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</si>
  <si>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</si>
  <si>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</si>
  <si>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</si>
  <si>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</si>
  <si>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</si>
  <si>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</si>
  <si>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</si>
  <si>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</si>
  <si>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</si>
  <si>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</si>
  <si>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</si>
  <si>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</si>
  <si>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</si>
  <si>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</si>
  <si>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</si>
  <si>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</si>
  <si>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</si>
  <si>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</si>
  <si>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</si>
  <si>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</si>
  <si>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</si>
  <si>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</si>
  <si>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</si>
  <si>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</si>
  <si>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</si>
  <si>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</si>
  <si>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</si>
  <si>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</si>
  <si>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</si>
  <si>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</si>
  <si>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</si>
  <si>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</si>
  <si>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</si>
  <si>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</si>
  <si>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</si>
  <si>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</si>
  <si>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</si>
  <si>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</si>
  <si>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</si>
  <si>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</si>
  <si>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</si>
  <si>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</si>
  <si>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</si>
  <si>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</si>
  <si>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</si>
  <si>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</si>
  <si>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</si>
  <si>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</si>
  <si>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</si>
  <si>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</si>
  <si>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</si>
  <si>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</si>
  <si>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</si>
  <si>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</si>
  <si>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</si>
  <si>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</si>
  <si>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</si>
  <si>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</si>
  <si>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</si>
  <si>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</si>
  <si>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</si>
  <si>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</si>
  <si>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</si>
  <si>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</si>
  <si>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</si>
  <si>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</si>
  <si>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</si>
  <si>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</si>
  <si>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</si>
  <si>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</si>
  <si>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</si>
  <si>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</si>
  <si>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</si>
  <si>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</si>
  <si>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</si>
  <si>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</si>
  <si>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</si>
  <si>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</si>
  <si>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</si>
  <si>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</si>
  <si>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</si>
  <si>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</si>
  <si>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</si>
  <si>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</si>
  <si>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</si>
  <si>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</si>
  <si>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</si>
  <si>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</si>
  <si>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</si>
  <si>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</si>
  <si>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</si>
  <si>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</si>
  <si>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</si>
  <si>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</si>
  <si>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</si>
  <si>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</si>
  <si>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</si>
  <si>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</si>
  <si>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</si>
  <si>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</si>
  <si>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</si>
  <si>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</si>
  <si>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</si>
  <si>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</si>
  <si>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</si>
  <si>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</si>
  <si>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</si>
  <si>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</si>
  <si>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</si>
  <si>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</si>
  <si>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</si>
  <si>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</si>
  <si>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</si>
  <si>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</si>
  <si>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</si>
  <si>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</si>
  <si>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</si>
  <si>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</si>
  <si>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</si>
  <si>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</si>
  <si>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</si>
  <si>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</si>
  <si>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</si>
  <si>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</si>
  <si>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</si>
  <si>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</si>
  <si>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</si>
  <si>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</si>
  <si>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</si>
  <si>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</si>
  <si>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</si>
  <si>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</si>
  <si>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</si>
  <si>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</si>
  <si>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</si>
  <si>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</si>
  <si>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</si>
  <si>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</si>
  <si>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</si>
  <si>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</si>
  <si>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</si>
  <si>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</si>
  <si>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</si>
  <si>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</si>
  <si>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</si>
  <si>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</si>
  <si>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</si>
  <si>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</si>
  <si>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</si>
  <si>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</si>
  <si>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</si>
  <si>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</si>
  <si>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</si>
  <si>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</si>
  <si>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</si>
  <si>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</si>
  <si>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</si>
  <si>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</si>
  <si>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</si>
  <si>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</si>
  <si>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</si>
  <si>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</si>
  <si>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</si>
  <si>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</si>
  <si>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</si>
  <si>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</si>
  <si>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</si>
  <si>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</si>
  <si>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</si>
  <si>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</si>
  <si>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</si>
  <si>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</si>
  <si>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</si>
  <si>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</si>
  <si>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</si>
  <si>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</si>
  <si>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</si>
  <si>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</si>
  <si>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</si>
  <si>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</si>
  <si>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</si>
  <si>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</si>
  <si>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</si>
  <si>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</si>
  <si>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</si>
  <si>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</si>
  <si>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</si>
  <si>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</si>
  <si>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</si>
  <si>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</si>
  <si>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</si>
  <si>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</si>
  <si>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</si>
  <si>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</si>
  <si>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</si>
  <si>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</si>
  <si>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</si>
  <si>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</si>
  <si>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</si>
  <si>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</si>
  <si>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</si>
  <si>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</si>
  <si>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</si>
  <si>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</si>
  <si>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</si>
  <si>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</si>
  <si>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</si>
  <si>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</si>
  <si>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</si>
  <si>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</si>
  <si>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</si>
  <si>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</si>
  <si>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</si>
  <si>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</si>
  <si>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</si>
  <si>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</si>
  <si>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</si>
  <si>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</si>
  <si>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</si>
  <si>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</si>
  <si>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</si>
  <si>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</si>
  <si>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</si>
  <si>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</si>
  <si>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</si>
  <si>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</si>
  <si>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</si>
  <si>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</si>
  <si>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</si>
  <si>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</si>
  <si>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</si>
  <si>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</si>
  <si>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</si>
  <si>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</si>
  <si>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</si>
  <si>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</si>
  <si>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</si>
  <si>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</si>
  <si>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</si>
  <si>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</si>
  <si>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</si>
  <si>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</si>
  <si>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</si>
  <si>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</si>
  <si>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</si>
  <si>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</si>
  <si>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</si>
  <si>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</si>
  <si>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</si>
  <si>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</si>
  <si>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</si>
  <si>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</si>
  <si>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</si>
  <si>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</si>
  <si>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</si>
  <si>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</si>
  <si>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</si>
  <si>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</si>
  <si>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</si>
  <si>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</si>
  <si>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</si>
  <si>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</si>
  <si>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</si>
  <si>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</si>
  <si>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</si>
  <si>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</si>
  <si>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</si>
  <si>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</si>
  <si>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</si>
  <si>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</si>
  <si>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</si>
  <si>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</si>
  <si>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</si>
  <si>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</si>
  <si>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</si>
  <si>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</si>
  <si>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</si>
  <si>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</si>
  <si>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</si>
  <si>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</si>
  <si>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</si>
  <si>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</si>
  <si>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</si>
  <si>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</si>
  <si>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</si>
  <si>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</si>
  <si>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</si>
  <si>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</si>
  <si>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</si>
  <si>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</si>
  <si>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</si>
  <si>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</si>
  <si>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</si>
  <si>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</si>
  <si>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</si>
  <si>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</si>
  <si>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</si>
  <si>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</si>
  <si>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</si>
  <si>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</si>
  <si>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</si>
  <si>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</si>
  <si>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</si>
  <si>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</si>
  <si>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</si>
  <si>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</si>
  <si>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</si>
  <si>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</si>
  <si>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</si>
  <si>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</si>
  <si>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</si>
  <si>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</si>
  <si>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</si>
  <si>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</si>
  <si>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</si>
  <si>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</si>
  <si>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</si>
  <si>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</si>
  <si>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</si>
  <si>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</si>
  <si>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</si>
  <si>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</si>
  <si>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</si>
  <si>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</si>
  <si>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</si>
  <si>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</si>
  <si>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</si>
  <si>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</si>
  <si>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</si>
  <si>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</si>
  <si>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</si>
  <si>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</si>
  <si>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</si>
  <si>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</si>
  <si>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</si>
  <si>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</si>
  <si>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</si>
  <si>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</si>
  <si>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</si>
  <si>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</si>
  <si>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</si>
  <si>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</si>
  <si>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</si>
  <si>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</si>
  <si>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</si>
  <si>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</si>
  <si>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</si>
  <si>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</si>
  <si>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</si>
  <si>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</si>
  <si>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</si>
  <si>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</si>
  <si>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</si>
  <si>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</si>
  <si>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</si>
  <si>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</si>
  <si>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</si>
  <si>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</si>
  <si>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</si>
  <si>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</si>
  <si>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</si>
  <si>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</si>
  <si>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</si>
  <si>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</si>
  <si>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</si>
  <si>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</si>
  <si>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</si>
  <si>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</si>
  <si>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</si>
  <si>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</si>
  <si>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</si>
  <si>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</si>
  <si>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</si>
  <si>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</si>
  <si>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</si>
  <si>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</si>
  <si>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</si>
  <si>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</si>
  <si>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</si>
  <si>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</si>
  <si>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</si>
  <si>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</si>
  <si>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</si>
  <si>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</si>
  <si>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</si>
  <si>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</si>
  <si>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</si>
  <si>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</si>
  <si>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</si>
  <si>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</si>
  <si>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</si>
  <si>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</si>
  <si>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</si>
  <si>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</si>
  <si>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</si>
  <si>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</si>
  <si>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</si>
  <si>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</si>
  <si>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</si>
  <si>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</si>
  <si>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</si>
  <si>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</si>
  <si>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</si>
  <si>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</si>
  <si>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</si>
  <si>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</si>
  <si>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</si>
  <si>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</si>
  <si>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</si>
  <si>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</si>
  <si>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</si>
  <si>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</si>
  <si>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</si>
  <si>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</si>
  <si>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</si>
  <si>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</si>
  <si>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</si>
  <si>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</si>
  <si>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</si>
  <si>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</si>
  <si>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</si>
  <si>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</si>
  <si>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</si>
  <si>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</si>
  <si>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</si>
  <si>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</si>
  <si>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</si>
  <si>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</si>
  <si>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</si>
  <si>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</si>
  <si>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</si>
  <si>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</si>
  <si>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</si>
  <si>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</si>
  <si>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</si>
  <si>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</si>
  <si>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</si>
  <si>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</si>
  <si>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</si>
  <si>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</si>
  <si>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</si>
  <si>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</si>
  <si>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</si>
  <si>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</si>
  <si>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</si>
  <si>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</si>
  <si>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</si>
  <si>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</si>
  <si>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</si>
  <si>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</si>
  <si>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</si>
  <si>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</si>
  <si>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</si>
  <si>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</si>
  <si>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</si>
  <si>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</si>
  <si>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</si>
  <si>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</si>
  <si>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</si>
  <si>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</si>
  <si>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</si>
  <si>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</si>
  <si>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</si>
  <si>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</si>
  <si>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</si>
  <si>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</si>
  <si>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</si>
  <si>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</si>
  <si>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</si>
  <si>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</si>
  <si>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</si>
  <si>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</si>
  <si>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</si>
  <si>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</si>
  <si>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</si>
  <si>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</si>
  <si>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</si>
  <si>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</si>
  <si>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</si>
  <si>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</si>
  <si>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</si>
  <si>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</si>
  <si>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</si>
  <si>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</si>
  <si>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</si>
  <si>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</si>
  <si>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</si>
  <si>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</si>
  <si>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</si>
  <si>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</si>
  <si>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</si>
  <si>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</si>
  <si>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</si>
  <si>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</si>
  <si>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</si>
  <si>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</si>
  <si>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</si>
  <si>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</si>
  <si>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</si>
  <si>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</si>
  <si>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</si>
  <si>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</si>
  <si>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</si>
  <si>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</si>
  <si>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</si>
  <si>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</si>
  <si>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</si>
  <si>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</si>
  <si>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</si>
  <si>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</si>
  <si>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</si>
  <si>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</si>
  <si>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</si>
  <si>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</si>
  <si>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</si>
  <si>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</si>
  <si>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</si>
  <si>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</si>
  <si>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</si>
  <si>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</si>
  <si>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</si>
  <si>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</si>
  <si>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</si>
  <si>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</si>
  <si>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</si>
  <si>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</si>
  <si>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</si>
  <si>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</si>
  <si>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</si>
  <si>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</si>
  <si>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</si>
  <si>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</si>
  <si>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</si>
  <si>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</si>
  <si>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</si>
  <si>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</si>
  <si>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</si>
  <si>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</si>
  <si>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</si>
  <si>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</si>
  <si>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</si>
  <si>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</si>
  <si>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</si>
  <si>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</si>
  <si>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</si>
  <si>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</si>
  <si>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</si>
  <si>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</si>
  <si>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</si>
  <si>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</si>
  <si>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</si>
  <si>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</si>
  <si>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</si>
  <si>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</si>
  <si>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</si>
  <si>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</si>
  <si>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</si>
  <si>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</si>
  <si>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</si>
  <si>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</si>
  <si>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</si>
  <si>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</si>
  <si>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</si>
  <si>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</si>
  <si>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</si>
  <si>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</si>
  <si>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</si>
  <si>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</si>
  <si>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</si>
  <si>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</si>
  <si>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</si>
  <si>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</si>
  <si>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</si>
  <si>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</si>
  <si>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</si>
  <si>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</si>
  <si>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</si>
  <si>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</si>
  <si>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</si>
  <si>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</si>
  <si>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</si>
  <si>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</si>
  <si>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</si>
  <si>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</si>
  <si>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</si>
  <si>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</si>
  <si>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</si>
  <si>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</si>
  <si>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</si>
  <si>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</si>
  <si>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</si>
  <si>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</si>
  <si>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</si>
  <si>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</si>
  <si>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</si>
  <si>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</si>
  <si>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</si>
  <si>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</si>
  <si>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</si>
  <si>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</si>
  <si>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</si>
  <si>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</si>
  <si>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</si>
  <si>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</si>
  <si>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</si>
  <si>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</si>
  <si>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</si>
  <si>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</si>
  <si>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</si>
  <si>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</si>
  <si>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</si>
  <si>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</si>
  <si>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</si>
  <si>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</si>
  <si>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</si>
  <si>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</si>
  <si>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</si>
  <si>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</si>
  <si>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</si>
  <si>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</si>
  <si>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</si>
  <si>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</si>
  <si>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</si>
  <si>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</si>
  <si>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</si>
  <si>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</si>
  <si>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</si>
  <si>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</si>
  <si>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</si>
  <si>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</si>
  <si>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</si>
  <si>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</si>
  <si>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</si>
  <si>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</si>
  <si>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</si>
  <si>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</si>
  <si>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</si>
  <si>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</si>
  <si>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</si>
  <si>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</si>
  <si>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</si>
  <si>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</si>
  <si>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</si>
  <si>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</si>
  <si>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</si>
  <si>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</si>
  <si>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</si>
  <si>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</si>
  <si>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</si>
  <si>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</si>
  <si>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</si>
  <si>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</si>
  <si>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</si>
  <si>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</si>
  <si>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</si>
  <si>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</si>
  <si>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</si>
  <si>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</si>
  <si>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</si>
  <si>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</si>
  <si>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</si>
  <si>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</si>
  <si>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</si>
  <si>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</si>
  <si>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</si>
  <si>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</si>
  <si>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</si>
  <si>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</si>
  <si>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</si>
  <si>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</si>
  <si>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</si>
  <si>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</si>
  <si>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</si>
  <si>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</si>
  <si>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</si>
  <si>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</si>
  <si>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</si>
  <si>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</si>
  <si>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</si>
  <si>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</si>
  <si>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</si>
  <si>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</si>
  <si>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</si>
  <si>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</si>
  <si>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</si>
  <si>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</si>
  <si>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</si>
  <si>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</si>
  <si>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</si>
  <si>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</si>
  <si>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</si>
  <si>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</si>
  <si>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</si>
  <si>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</si>
  <si>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</si>
  <si>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</si>
  <si>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</si>
  <si>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</si>
  <si>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</si>
  <si>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</si>
  <si>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</si>
  <si>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</si>
  <si>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</si>
  <si>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</si>
  <si>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</si>
  <si>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</si>
  <si>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</si>
  <si>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</si>
  <si>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</si>
  <si>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</si>
  <si>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</si>
  <si>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</si>
  <si>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</si>
  <si>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</si>
  <si>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</si>
  <si>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</si>
  <si>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</si>
  <si>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</si>
  <si>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</si>
  <si>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</si>
  <si>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</si>
  <si>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</si>
  <si>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</si>
  <si>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</si>
  <si>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</si>
  <si>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</si>
  <si>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</si>
  <si>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</si>
  <si>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</si>
  <si>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</si>
  <si>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</si>
  <si>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</si>
  <si>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</si>
  <si>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</si>
  <si>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</si>
  <si>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</si>
  <si>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</si>
  <si>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</si>
  <si>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</si>
  <si>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</si>
  <si>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</si>
  <si>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</si>
  <si>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</si>
  <si>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</si>
  <si>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</si>
  <si>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</si>
  <si>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</si>
  <si>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</si>
  <si>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</si>
  <si>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</si>
  <si>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</si>
  <si>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</si>
  <si>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</si>
  <si>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</si>
  <si>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</si>
  <si>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</si>
  <si>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</si>
  <si>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</si>
  <si>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</si>
  <si>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</si>
  <si>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</si>
  <si>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</si>
  <si>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</si>
  <si>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</si>
  <si>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</si>
  <si>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</si>
  <si>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</si>
  <si>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</si>
  <si>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</si>
  <si>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</si>
  <si>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</si>
  <si>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</si>
  <si>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</si>
  <si>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</si>
  <si>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</si>
  <si>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</si>
  <si>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</si>
  <si>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</si>
  <si>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</si>
  <si>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t>
    </r>
    <r>
      <rPr>
        <sz val="10"/>
        <rFont val="Arial"/>
        <family val="2"/>
      </rPr>
      <t/>
    </r>
    <phoneticPr fontId="1" type="noConversion"/>
  </si>
  <si>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</si>
  <si>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</si>
  <si>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</si>
  <si>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</si>
  <si>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</si>
  <si>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</si>
  <si>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</si>
  <si>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</si>
  <si>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</si>
  <si>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</si>
  <si>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</si>
  <si>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租赁税费</t>
    <phoneticPr fontId="1" type="noConversion"/>
  </si>
  <si>
    <t>建筑面积</t>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</si>
  <si>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</si>
  <si>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</si>
  <si>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1.32元/㎡·月。</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</si>
  <si>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(49.83+4.01+1.51+1.32)×3%=296345</t>
    </r>
    <r>
      <rPr>
        <sz val="10"/>
        <color rgb="FF000000"/>
        <rFont val="宋体"/>
        <family val="3"/>
        <charset val="134"/>
      </rPr>
      <t>元。</t>
    </r>
    <phoneticPr fontId="1" type="noConversion"/>
  </si>
  <si>
    <t>年成本收益（元/平方米·月）</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</si>
  <si>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85.01-2.5</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</si>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</sst>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
      <sz val="10"/>
      <color rgb="FFFF0000"/>
      <name val="宋体"/>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top style="thin">
        <color auto="1"/>
      </top>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39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4" borderId="10" xfId="156" applyNumberFormat="1" applyFont="1" applyFill="1" applyBorder="1" applyAlignment="1">
      <alignment horizontal="center"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0" fontId="0" fillId="0" borderId="0" xfId="0" applyAlignment="1">
      <alignment horizontal="center" vertical="center"/>
    </xf>
    <xf numFmtId="176" fontId="0" fillId="0" borderId="23" xfId="0" applyNumberFormat="1" applyBorder="1" applyAlignment="1">
      <alignment horizontal="center" vertical="center"/>
    </xf>
    <xf numFmtId="0" fontId="0" fillId="0" borderId="23" xfId="0" applyBorder="1" applyAlignment="1">
      <alignment horizontal="center" vertical="center"/>
    </xf>
    <xf numFmtId="176" fontId="0" fillId="0" borderId="0" xfId="0" applyNumberFormat="1" applyAlignment="1">
      <alignment horizontal="center" vertical="center"/>
    </xf>
    <xf numFmtId="0" fontId="12"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8"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0" fillId="0" borderId="10" xfId="0" applyBorder="1" applyAlignment="1">
      <alignment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3">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4"/>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4"/>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4"/>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65">
        <f>ROUND(AVERAGE(L6:L7),2)</f>
        <v>55.61</v>
      </c>
      <c r="N6" s="374"/>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66"/>
      <c r="N7" s="375"/>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76">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65">
        <f>ROUND(AVERAGE(L9:L10),2)</f>
        <v>54.69</v>
      </c>
      <c r="N9" s="377"/>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66"/>
      <c r="N10" s="378"/>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65">
        <f>ROUND(AVERAGE(L14:L15),2)</f>
        <v>44.36</v>
      </c>
      <c r="N14" s="367">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66"/>
      <c r="N15" s="371"/>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2"/>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65">
        <f>ROUND(AVERAGE(L17:L18),2)</f>
        <v>48.12</v>
      </c>
      <c r="N17" s="369">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66"/>
      <c r="N18" s="370"/>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65">
        <f>ROUND(AVERAGE(L19:L20),2)</f>
        <v>51.62</v>
      </c>
      <c r="N19" s="370"/>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66"/>
      <c r="N20" s="370"/>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65">
        <f>ROUND(AVERAGE(L21:L22),2)</f>
        <v>56.02</v>
      </c>
      <c r="N21" s="368"/>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66"/>
      <c r="N22" s="367">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68"/>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65">
        <f>ROUND(AVERAGE(L30:L33),2)</f>
        <v>58.8</v>
      </c>
      <c r="N30" s="379">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81"/>
      <c r="N31" s="382"/>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81"/>
      <c r="N32" s="382"/>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66"/>
      <c r="N33" s="382"/>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65">
        <f>ROUND(AVERAGE(L34:L37),2)</f>
        <v>43.95</v>
      </c>
      <c r="N34" s="382"/>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81"/>
      <c r="N35" s="382"/>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81"/>
      <c r="N36" s="382"/>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66"/>
      <c r="N37" s="380"/>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65">
        <f>ROUND(AVERAGE(L38:L40),2)</f>
        <v>47.49</v>
      </c>
      <c r="N38" s="379">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81"/>
      <c r="N39" s="382"/>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66"/>
      <c r="N40" s="382"/>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65">
        <f>ROUND(AVERAGE(L41:L42),2)</f>
        <v>46.17</v>
      </c>
      <c r="N41" s="382"/>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66"/>
      <c r="N42" s="382"/>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80"/>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65">
        <f>ROUND(AVERAGE(L44:L46),2)</f>
        <v>46.52</v>
      </c>
      <c r="N44" s="379">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81"/>
      <c r="N45" s="382"/>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66"/>
      <c r="N46" s="382"/>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82"/>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80"/>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79">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65">
        <f>ROUND(AVERAGE(L50:L52),2)</f>
        <v>46.9</v>
      </c>
      <c r="N50" s="382"/>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81"/>
      <c r="N51" s="382"/>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66"/>
      <c r="N52" s="380"/>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65">
        <f>ROUND(AVERAGE(L53:L54),2)</f>
        <v>47.15</v>
      </c>
      <c r="N53" s="379">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66"/>
      <c r="N54" s="380"/>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4" t="s">
        <v>196</v>
      </c>
      <c r="B1" s="383">
        <v>44378.333831018521</v>
      </c>
      <c r="C1" s="384"/>
      <c r="D1" s="384"/>
      <c r="E1" s="384"/>
      <c r="F1" s="383">
        <v>44348.333831018521</v>
      </c>
      <c r="G1" s="384"/>
      <c r="H1" s="384"/>
      <c r="I1" s="384"/>
      <c r="J1" s="383">
        <v>44317.333831018521</v>
      </c>
      <c r="K1" s="384"/>
      <c r="L1" s="384"/>
      <c r="M1" s="384"/>
      <c r="N1" s="383">
        <v>44287.333831018521</v>
      </c>
      <c r="O1" s="384"/>
      <c r="P1" s="384"/>
      <c r="Q1" s="384"/>
      <c r="R1" s="383">
        <v>44256.333831018521</v>
      </c>
      <c r="S1" s="384"/>
      <c r="T1" s="384"/>
      <c r="U1" s="384"/>
      <c r="V1" s="383">
        <v>44228.333831018521</v>
      </c>
      <c r="W1" s="384"/>
      <c r="X1" s="384"/>
      <c r="Y1" s="384"/>
      <c r="Z1" s="383">
        <v>44197.333831018521</v>
      </c>
      <c r="AA1" s="384"/>
      <c r="AB1" s="384"/>
      <c r="AC1" s="384"/>
      <c r="AD1" s="383">
        <v>44166.333831018521</v>
      </c>
      <c r="AE1" s="384"/>
      <c r="AF1" s="384"/>
      <c r="AG1" s="384"/>
      <c r="AH1" s="383">
        <v>44136.333831018521</v>
      </c>
      <c r="AI1" s="384"/>
      <c r="AJ1" s="384"/>
      <c r="AK1" s="384"/>
      <c r="AL1" s="383">
        <v>44105.333831018521</v>
      </c>
      <c r="AM1" s="384"/>
      <c r="AN1" s="384"/>
      <c r="AO1" s="384"/>
      <c r="AP1" s="383">
        <v>44075.333831018521</v>
      </c>
      <c r="AQ1" s="384"/>
      <c r="AR1" s="384"/>
      <c r="AS1" s="384"/>
      <c r="AT1" s="383">
        <v>44044.333831018521</v>
      </c>
      <c r="AU1" s="384"/>
      <c r="AV1" s="384"/>
      <c r="AW1" s="384"/>
      <c r="AX1" s="383">
        <v>44013.333831018521</v>
      </c>
      <c r="AY1" s="384"/>
      <c r="AZ1" s="384"/>
      <c r="BA1" s="384"/>
      <c r="BB1" s="383">
        <v>43983.333831018521</v>
      </c>
      <c r="BC1" s="384"/>
      <c r="BD1" s="384"/>
      <c r="BE1" s="384"/>
    </row>
    <row r="2" spans="1:58">
      <c r="A2" s="384"/>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4" t="s">
        <v>196</v>
      </c>
      <c r="B1" s="383">
        <v>44378.333831018521</v>
      </c>
      <c r="C1" s="384"/>
      <c r="D1" s="384"/>
      <c r="E1" s="384"/>
      <c r="F1" s="383">
        <v>44348.333831018521</v>
      </c>
      <c r="G1" s="384"/>
      <c r="H1" s="384"/>
      <c r="I1" s="384"/>
      <c r="J1" s="383">
        <v>44317.333831018521</v>
      </c>
      <c r="K1" s="384"/>
      <c r="L1" s="384"/>
      <c r="M1" s="384"/>
      <c r="N1" s="383">
        <v>44287.333831018521</v>
      </c>
      <c r="O1" s="384"/>
      <c r="P1" s="384"/>
      <c r="Q1" s="384"/>
      <c r="R1" s="383">
        <v>44256.333831018521</v>
      </c>
      <c r="S1" s="384"/>
      <c r="T1" s="384"/>
      <c r="U1" s="384"/>
      <c r="V1" s="383">
        <v>44228.333831018521</v>
      </c>
      <c r="W1" s="384"/>
      <c r="X1" s="384"/>
      <c r="Y1" s="384"/>
      <c r="Z1" s="383">
        <v>44197.333831018521</v>
      </c>
      <c r="AA1" s="384"/>
      <c r="AB1" s="384"/>
      <c r="AC1" s="384"/>
      <c r="AD1" s="383">
        <v>44166.333831018521</v>
      </c>
      <c r="AE1" s="384"/>
      <c r="AF1" s="384"/>
      <c r="AG1" s="384"/>
      <c r="AH1" s="383">
        <v>44136.333831018521</v>
      </c>
      <c r="AI1" s="384"/>
      <c r="AJ1" s="384"/>
      <c r="AK1" s="384"/>
      <c r="AL1" s="383">
        <v>44105.333831018521</v>
      </c>
      <c r="AM1" s="384"/>
      <c r="AN1" s="384"/>
      <c r="AO1" s="384"/>
      <c r="AP1" s="383">
        <v>44075.333831018521</v>
      </c>
      <c r="AQ1" s="384"/>
      <c r="AR1" s="384"/>
      <c r="AS1" s="384"/>
      <c r="AT1" s="383">
        <v>44044.333831018521</v>
      </c>
      <c r="AU1" s="384"/>
      <c r="AV1" s="384"/>
      <c r="AW1" s="384"/>
    </row>
    <row r="2" spans="1:49">
      <c r="A2" s="384"/>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5"/>
      <c r="I9" s="50" t="str">
        <f>B86</f>
        <v>智学苑</v>
      </c>
      <c r="J9" s="51">
        <f>F86</f>
        <v>90.085120589694199</v>
      </c>
    </row>
    <row r="10" spans="1:10">
      <c r="A10" s="5" t="s">
        <v>82</v>
      </c>
      <c r="B10" s="5" t="s">
        <v>113</v>
      </c>
      <c r="C10" s="5">
        <v>66.192390968140998</v>
      </c>
      <c r="D10" s="46">
        <v>2021</v>
      </c>
      <c r="E10" s="5" t="s">
        <v>100</v>
      </c>
      <c r="F10" s="385"/>
      <c r="I10" s="50" t="str">
        <f>B99</f>
        <v>铭科苑</v>
      </c>
      <c r="J10" s="51">
        <f>F99</f>
        <v>100.79276041359708</v>
      </c>
    </row>
    <row r="11" spans="1:10">
      <c r="A11" s="5" t="s">
        <v>82</v>
      </c>
      <c r="B11" s="5" t="s">
        <v>113</v>
      </c>
      <c r="C11" s="5">
        <v>65.194491149605895</v>
      </c>
      <c r="D11" s="46">
        <v>2021</v>
      </c>
      <c r="E11" s="5" t="s">
        <v>99</v>
      </c>
      <c r="F11" s="385"/>
      <c r="I11" s="48" t="str">
        <f>B113</f>
        <v>当代城市家园</v>
      </c>
      <c r="J11" s="49">
        <f>F113</f>
        <v>103.2018076170814</v>
      </c>
    </row>
    <row r="12" spans="1:10">
      <c r="A12" s="5" t="s">
        <v>82</v>
      </c>
      <c r="B12" s="5" t="s">
        <v>113</v>
      </c>
      <c r="C12" s="5">
        <v>78.069319863910806</v>
      </c>
      <c r="D12" s="46">
        <v>2021</v>
      </c>
      <c r="E12" s="5" t="s">
        <v>93</v>
      </c>
      <c r="F12" s="385"/>
      <c r="I12" s="48" t="str">
        <f>B127</f>
        <v>安宁佳园</v>
      </c>
      <c r="J12" s="49">
        <f>F127</f>
        <v>111.08854325929553</v>
      </c>
    </row>
    <row r="13" spans="1:10">
      <c r="A13" s="5" t="s">
        <v>82</v>
      </c>
      <c r="B13" s="5" t="s">
        <v>113</v>
      </c>
      <c r="C13" s="5">
        <v>77.237474528590198</v>
      </c>
      <c r="D13" s="46">
        <v>2021</v>
      </c>
      <c r="E13" s="5" t="s">
        <v>94</v>
      </c>
      <c r="F13" s="385"/>
      <c r="I13" s="48" t="str">
        <f>B141</f>
        <v>上林溪</v>
      </c>
      <c r="J13" s="49">
        <f>F141</f>
        <v>94.745991627252906</v>
      </c>
    </row>
    <row r="14" spans="1:10">
      <c r="A14" s="5" t="s">
        <v>82</v>
      </c>
      <c r="B14" s="5" t="s">
        <v>113</v>
      </c>
      <c r="C14" s="5">
        <v>83.655952025206602</v>
      </c>
      <c r="D14" s="46">
        <v>2021</v>
      </c>
      <c r="E14" s="5" t="s">
        <v>95</v>
      </c>
      <c r="F14" s="385"/>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I8" sqref="I8"/>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22" t="s">
        <v>30</v>
      </c>
      <c r="B2" s="323"/>
      <c r="C2" s="327" t="s">
        <v>153</v>
      </c>
      <c r="D2" s="324"/>
      <c r="E2" s="324" t="s">
        <v>150</v>
      </c>
      <c r="F2" s="324"/>
    </row>
    <row r="3" spans="1:10">
      <c r="A3" s="324" t="s">
        <v>31</v>
      </c>
      <c r="B3" s="324"/>
      <c r="C3" s="325" t="s">
        <v>1151</v>
      </c>
      <c r="D3" s="323"/>
      <c r="E3" s="325" t="s">
        <v>1150</v>
      </c>
      <c r="F3" s="323"/>
    </row>
    <row r="4" spans="1:10" ht="24" customHeight="1">
      <c r="A4" s="324" t="s">
        <v>32</v>
      </c>
      <c r="B4" s="324"/>
      <c r="C4" s="322" t="s">
        <v>33</v>
      </c>
      <c r="D4" s="323"/>
      <c r="E4" s="320">
        <f>保租房比较法!C33</f>
        <v>90.18</v>
      </c>
      <c r="F4" s="321"/>
    </row>
    <row r="5" spans="1:10">
      <c r="A5" s="324" t="s">
        <v>34</v>
      </c>
      <c r="B5" s="324"/>
      <c r="C5" s="16">
        <v>45119</v>
      </c>
      <c r="D5" s="17">
        <v>100</v>
      </c>
      <c r="E5" s="16">
        <v>45119</v>
      </c>
      <c r="F5" s="17">
        <v>100</v>
      </c>
    </row>
    <row r="6" spans="1:10" ht="72">
      <c r="A6" s="390" t="s">
        <v>110</v>
      </c>
      <c r="B6" s="391"/>
      <c r="C6" s="319" t="s">
        <v>1173</v>
      </c>
      <c r="D6" s="17">
        <v>100</v>
      </c>
      <c r="E6" s="319" t="s">
        <v>1174</v>
      </c>
      <c r="F6" s="317">
        <v>98.5</v>
      </c>
    </row>
    <row r="7" spans="1:10">
      <c r="A7" s="392" t="s">
        <v>84</v>
      </c>
      <c r="B7" s="393"/>
      <c r="C7" s="202" t="s">
        <v>1072</v>
      </c>
      <c r="D7" s="17">
        <v>100</v>
      </c>
      <c r="E7" s="202" t="s">
        <v>1172</v>
      </c>
      <c r="F7" s="17">
        <v>100</v>
      </c>
    </row>
    <row r="8" spans="1:10" ht="114">
      <c r="A8" s="392" t="s">
        <v>1176</v>
      </c>
      <c r="B8" s="391"/>
      <c r="C8" s="316" t="s">
        <v>1152</v>
      </c>
      <c r="D8" s="17">
        <v>100</v>
      </c>
      <c r="E8" s="316" t="s">
        <v>1153</v>
      </c>
      <c r="F8" s="317">
        <v>110</v>
      </c>
      <c r="I8" s="316" t="s">
        <v>1154</v>
      </c>
      <c r="J8" s="316" t="s">
        <v>1155</v>
      </c>
    </row>
    <row r="9" spans="1:10" ht="128.25">
      <c r="A9" s="390" t="s">
        <v>1175</v>
      </c>
      <c r="B9" s="391"/>
      <c r="C9" s="398" t="s">
        <v>1156</v>
      </c>
      <c r="D9" s="17">
        <v>100</v>
      </c>
      <c r="E9" s="316" t="s">
        <v>1157</v>
      </c>
      <c r="F9" s="317">
        <v>106</v>
      </c>
    </row>
    <row r="10" spans="1:10">
      <c r="A10" s="330" t="s">
        <v>53</v>
      </c>
      <c r="B10" s="330"/>
      <c r="C10" s="324" t="s">
        <v>52</v>
      </c>
      <c r="D10" s="324"/>
      <c r="E10" s="329">
        <f>ROUND(E4*POWER(100,COUNT(F5:F9))/PRODUCT(F5:F9),2)</f>
        <v>78.52</v>
      </c>
      <c r="F10" s="329"/>
    </row>
    <row r="11" spans="1:10">
      <c r="A11" s="386" t="s">
        <v>1158</v>
      </c>
      <c r="B11" s="386"/>
      <c r="C11" s="14" t="s">
        <v>1159</v>
      </c>
      <c r="D11" s="14">
        <v>2.5</v>
      </c>
      <c r="E11" s="387">
        <f>ROUND(E10-D11,2)</f>
        <v>76.02</v>
      </c>
      <c r="F11" s="388"/>
    </row>
    <row r="12" spans="1:10">
      <c r="A12" s="386" t="s">
        <v>1160</v>
      </c>
      <c r="B12" s="386"/>
      <c r="D12" s="14">
        <v>0</v>
      </c>
      <c r="E12" s="389">
        <f>E11-D12</f>
        <v>76.02</v>
      </c>
      <c r="F12" s="386"/>
      <c r="G12" s="14" t="s">
        <v>1169</v>
      </c>
      <c r="J12" s="315" t="s">
        <v>1170</v>
      </c>
    </row>
    <row r="13" spans="1:10">
      <c r="J13" s="315">
        <f>E12*0.6</f>
        <v>45.611999999999995</v>
      </c>
    </row>
  </sheetData>
  <mergeCells count="21">
    <mergeCell ref="A2:B2"/>
    <mergeCell ref="C2:D2"/>
    <mergeCell ref="E2:F2"/>
    <mergeCell ref="A3:B3"/>
    <mergeCell ref="C3:D3"/>
    <mergeCell ref="E3:F3"/>
    <mergeCell ref="A11:B11"/>
    <mergeCell ref="E11:F11"/>
    <mergeCell ref="A12:B12"/>
    <mergeCell ref="E12:F12"/>
    <mergeCell ref="A4:B4"/>
    <mergeCell ref="C4:D4"/>
    <mergeCell ref="E4:F4"/>
    <mergeCell ref="A5:B5"/>
    <mergeCell ref="A10:B10"/>
    <mergeCell ref="C10:D10"/>
    <mergeCell ref="E10:F10"/>
    <mergeCell ref="A8:B8"/>
    <mergeCell ref="A9:B9"/>
    <mergeCell ref="A6:B6"/>
    <mergeCell ref="A7:B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E8" sqref="E8"/>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1161</v>
      </c>
    </row>
    <row r="2" spans="1:9" ht="75.75">
      <c r="A2" s="309">
        <v>1</v>
      </c>
      <c r="B2" s="308" t="s">
        <v>1139</v>
      </c>
      <c r="C2" s="313">
        <f>F2</f>
        <v>49.83</v>
      </c>
      <c r="D2" s="310" t="s">
        <v>1162</v>
      </c>
      <c r="E2" s="5">
        <v>1.35</v>
      </c>
      <c r="F2" s="318">
        <f>ROUND(1.35*365/12+32602049/120/I2,2)</f>
        <v>49.83</v>
      </c>
      <c r="I2" s="5">
        <v>30987.62</v>
      </c>
    </row>
    <row r="3" spans="1:9">
      <c r="A3" s="309">
        <v>2</v>
      </c>
      <c r="B3" s="308" t="s">
        <v>1140</v>
      </c>
      <c r="C3" s="313">
        <f>C4+C5+C6</f>
        <v>4.01</v>
      </c>
      <c r="D3" s="311" t="s">
        <v>55</v>
      </c>
    </row>
    <row r="4" spans="1:9" ht="51">
      <c r="A4" s="309">
        <v>2.1</v>
      </c>
      <c r="B4" s="308" t="s">
        <v>1141</v>
      </c>
      <c r="C4" s="312">
        <f>ROUND(F4,2)</f>
        <v>1.5</v>
      </c>
      <c r="D4" s="311" t="s">
        <v>1148</v>
      </c>
      <c r="F4" s="5">
        <v>1.5</v>
      </c>
    </row>
    <row r="5" spans="1:9" ht="72">
      <c r="A5" s="309">
        <v>2.2000000000000002</v>
      </c>
      <c r="B5" s="308" t="s">
        <v>1142</v>
      </c>
      <c r="C5" s="314">
        <f>ROUND(F5,2)</f>
        <v>0.01</v>
      </c>
      <c r="D5" s="310" t="s">
        <v>1163</v>
      </c>
      <c r="E5" s="5">
        <v>2445</v>
      </c>
      <c r="F5" s="5">
        <f>ROUND(E5/12/I2,2)</f>
        <v>0.01</v>
      </c>
    </row>
    <row r="6" spans="1:9" ht="36.75">
      <c r="A6" s="309">
        <v>2.2999999999999998</v>
      </c>
      <c r="B6" s="308" t="s">
        <v>1143</v>
      </c>
      <c r="C6" s="314">
        <f>ROUND(F6,2)</f>
        <v>2.5</v>
      </c>
      <c r="D6" s="311" t="s">
        <v>1149</v>
      </c>
      <c r="E6" s="5">
        <v>2.5</v>
      </c>
      <c r="F6" s="5">
        <v>2.5</v>
      </c>
    </row>
    <row r="7" spans="1:9">
      <c r="A7" s="309">
        <v>3</v>
      </c>
      <c r="B7" s="308" t="s">
        <v>1144</v>
      </c>
      <c r="C7" s="313">
        <f>C8+C9+C10</f>
        <v>4.54</v>
      </c>
      <c r="D7" s="311" t="s">
        <v>56</v>
      </c>
    </row>
    <row r="8" spans="1:9" ht="37.5">
      <c r="A8" s="309">
        <v>3.1</v>
      </c>
      <c r="B8" s="308" t="s">
        <v>1145</v>
      </c>
      <c r="C8" s="313">
        <f>F8</f>
        <v>1.52</v>
      </c>
      <c r="D8" s="310" t="s">
        <v>1167</v>
      </c>
      <c r="E8" s="59">
        <f>公租房差异修正!E10-公租房差异修正!D11</f>
        <v>76.02</v>
      </c>
      <c r="F8" s="5">
        <f>ROUND(E8*0.02,2)</f>
        <v>1.52</v>
      </c>
    </row>
    <row r="9" spans="1:9" ht="96">
      <c r="A9" s="309">
        <v>3.2</v>
      </c>
      <c r="B9" s="308" t="s">
        <v>1146</v>
      </c>
      <c r="C9" s="312">
        <f>ROUND(G9,2)</f>
        <v>1.32</v>
      </c>
      <c r="D9" s="310" t="s">
        <v>1164</v>
      </c>
      <c r="E9" s="5">
        <f>C2*0.7</f>
        <v>34.880999999999993</v>
      </c>
      <c r="F9" s="5">
        <f>4.2%*0.9</f>
        <v>3.78E-2</v>
      </c>
      <c r="G9" s="5">
        <f>ROUND(E9*F9,2)</f>
        <v>1.32</v>
      </c>
    </row>
    <row r="10" spans="1:9" ht="61.5">
      <c r="A10" s="309">
        <v>3.3</v>
      </c>
      <c r="B10" s="308" t="s">
        <v>1147</v>
      </c>
      <c r="C10" s="312">
        <f>ROUND((C2+C3+C8+C9)*3%,2)</f>
        <v>1.7</v>
      </c>
      <c r="D10" s="310" t="s">
        <v>1165</v>
      </c>
    </row>
    <row r="11" spans="1:9" ht="24">
      <c r="A11" s="309">
        <v>4</v>
      </c>
      <c r="B11" s="308" t="s">
        <v>1166</v>
      </c>
      <c r="C11" s="313">
        <f>C2+C3+C7</f>
        <v>58.379999999999995</v>
      </c>
      <c r="D11" s="311" t="s">
        <v>57</v>
      </c>
    </row>
    <row r="13" spans="1:9">
      <c r="C13" s="5" t="s">
        <v>1168</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220.21473599999999</v>
      </c>
      <c r="C5" s="1">
        <f>ROUND(B5*10000/$B$1,0)</f>
        <v>76</v>
      </c>
      <c r="D5" s="1" t="e">
        <f>ROUND(B5*10000/$B$2,0)</f>
        <v>#DIV/0!</v>
      </c>
      <c r="E5" s="3"/>
      <c r="F5" s="4"/>
      <c r="G5" s="4"/>
    </row>
    <row r="6" spans="1:9" ht="16.5">
      <c r="A6" s="1" t="s">
        <v>8</v>
      </c>
      <c r="B6" s="1">
        <f>SUM(D14:D23)</f>
        <v>220.21473599999999</v>
      </c>
      <c r="C6" s="1">
        <f>ROUND(B6*10000/$B$1,0)</f>
        <v>76</v>
      </c>
      <c r="D6" s="1" t="e">
        <f>ROUND(B6*10000/$B$2,0)</f>
        <v>#DIV/0!</v>
      </c>
      <c r="E6" s="3"/>
      <c r="F6" s="4"/>
      <c r="G6" s="4"/>
    </row>
    <row r="7" spans="1:9" ht="16.5">
      <c r="A7" s="1" t="s">
        <v>9</v>
      </c>
      <c r="B7" s="1">
        <f>B5</f>
        <v>220.21473599999999</v>
      </c>
      <c r="C7" s="1">
        <f>ROUND(B7*10000/$B$1,0)</f>
        <v>76</v>
      </c>
      <c r="D7" s="1" t="e">
        <f>ROUND(B7*10000/$B$2,0)</f>
        <v>#DIV/0!</v>
      </c>
      <c r="E7" s="3"/>
      <c r="F7" s="4"/>
      <c r="G7" s="4"/>
    </row>
    <row r="8" spans="1:9" ht="16.5">
      <c r="A8" s="1" t="s">
        <v>10</v>
      </c>
      <c r="B8" s="1">
        <f>B5</f>
        <v>220.21473599999999</v>
      </c>
      <c r="C8" s="1">
        <f>ROUND(B8*10000/$B$1,0)</f>
        <v>76</v>
      </c>
      <c r="D8" s="1" t="e">
        <f>ROUND(B8*10000/$B$2,0)</f>
        <v>#DIV/0!</v>
      </c>
      <c r="E8" s="3"/>
      <c r="F8" s="4"/>
      <c r="G8" s="4"/>
    </row>
    <row r="9" spans="1:9" ht="16.5">
      <c r="A9" s="1" t="s">
        <v>11</v>
      </c>
      <c r="B9" s="7">
        <f>B5</f>
        <v>220.21473599999999</v>
      </c>
      <c r="C9" s="3"/>
      <c r="D9" s="3"/>
      <c r="E9" s="3"/>
      <c r="F9" s="4"/>
      <c r="G9" s="4"/>
    </row>
    <row r="10" spans="1:9" ht="16.5">
      <c r="A10" s="1" t="s">
        <v>12</v>
      </c>
      <c r="B10" s="7">
        <f>B5</f>
        <v>220.21473599999999</v>
      </c>
      <c r="C10" s="3"/>
      <c r="D10" s="3"/>
      <c r="E10" s="3"/>
      <c r="F10" s="4"/>
      <c r="G10" s="4"/>
    </row>
    <row r="11" spans="1:9" ht="16.5">
      <c r="A11" s="1" t="s">
        <v>13</v>
      </c>
      <c r="B11" s="7">
        <f>B5</f>
        <v>220.21473599999999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220.21473599999999</v>
      </c>
      <c r="E14" s="9">
        <f>公租房差异修正!E12</f>
        <v>76.02</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4" t="s">
        <v>684</v>
      </c>
      <c r="B1" s="395"/>
      <c r="C1" s="395"/>
      <c r="D1" s="395"/>
      <c r="E1" s="395"/>
      <c r="F1" s="396"/>
      <c r="G1" s="395"/>
      <c r="H1" s="395"/>
      <c r="I1" s="395"/>
      <c r="J1" s="395"/>
      <c r="K1" s="395"/>
      <c r="L1" s="395"/>
      <c r="M1" s="395"/>
      <c r="N1" s="397"/>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opLeftCell="A13" zoomScale="90" zoomScaleNormal="90" workbookViewId="0">
      <selection activeCell="C22" sqref="C22"/>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8" t="s">
        <v>29</v>
      </c>
      <c r="B1" s="328"/>
      <c r="C1" s="328"/>
      <c r="D1" s="328"/>
      <c r="E1" s="328"/>
      <c r="F1" s="328"/>
      <c r="G1" s="328"/>
      <c r="H1" s="328"/>
      <c r="I1" s="328"/>
      <c r="J1" s="328"/>
    </row>
    <row r="2" spans="1:18">
      <c r="A2" s="15"/>
      <c r="B2" s="15"/>
      <c r="C2" s="15"/>
      <c r="D2" s="15"/>
      <c r="E2" s="15"/>
      <c r="F2" s="15"/>
      <c r="G2" s="15"/>
      <c r="H2" s="15"/>
      <c r="I2" s="15"/>
      <c r="J2" s="15"/>
    </row>
    <row r="3" spans="1:18">
      <c r="A3" s="322" t="s">
        <v>30</v>
      </c>
      <c r="B3" s="323"/>
      <c r="C3" s="327" t="s">
        <v>153</v>
      </c>
      <c r="D3" s="324"/>
      <c r="E3" s="324" t="s">
        <v>150</v>
      </c>
      <c r="F3" s="324"/>
      <c r="G3" s="324" t="s">
        <v>151</v>
      </c>
      <c r="H3" s="324"/>
      <c r="I3" s="322" t="s">
        <v>152</v>
      </c>
      <c r="J3" s="323"/>
    </row>
    <row r="4" spans="1:18">
      <c r="A4" s="324" t="s">
        <v>31</v>
      </c>
      <c r="B4" s="324"/>
      <c r="C4" s="325" t="s">
        <v>1070</v>
      </c>
      <c r="D4" s="323"/>
      <c r="E4" s="326" t="s">
        <v>1071</v>
      </c>
      <c r="F4" s="323"/>
      <c r="G4" s="326" t="s">
        <v>1085</v>
      </c>
      <c r="H4" s="323"/>
      <c r="I4" s="326" t="s">
        <v>1086</v>
      </c>
      <c r="J4" s="323"/>
    </row>
    <row r="5" spans="1:18" ht="17.100000000000001" customHeight="1">
      <c r="A5" s="324" t="s">
        <v>32</v>
      </c>
      <c r="B5" s="324"/>
      <c r="C5" s="322" t="s">
        <v>33</v>
      </c>
      <c r="D5" s="323"/>
      <c r="E5" s="320">
        <f>案例!U3</f>
        <v>118.68</v>
      </c>
      <c r="F5" s="321"/>
      <c r="G5" s="320">
        <f>案例!U40</f>
        <v>112.24</v>
      </c>
      <c r="H5" s="321"/>
      <c r="I5" s="320">
        <f>案例!U64</f>
        <v>91.43</v>
      </c>
      <c r="J5" s="321"/>
    </row>
    <row r="6" spans="1:18" ht="39" customHeight="1">
      <c r="A6" s="324" t="s">
        <v>34</v>
      </c>
      <c r="B6" s="324"/>
      <c r="C6" s="16">
        <v>45117</v>
      </c>
      <c r="D6" s="17">
        <v>100</v>
      </c>
      <c r="E6" s="16">
        <v>45117</v>
      </c>
      <c r="F6" s="17">
        <v>100</v>
      </c>
      <c r="G6" s="16">
        <v>45117</v>
      </c>
      <c r="H6" s="17">
        <v>100</v>
      </c>
      <c r="I6" s="16">
        <v>45117</v>
      </c>
      <c r="J6" s="17">
        <v>100</v>
      </c>
      <c r="M6" s="286"/>
    </row>
    <row r="7" spans="1:18" s="262" customFormat="1" ht="9.75" customHeight="1">
      <c r="A7" s="324" t="s">
        <v>35</v>
      </c>
      <c r="B7" s="324"/>
      <c r="C7" s="260" t="s">
        <v>36</v>
      </c>
      <c r="D7" s="260">
        <v>100</v>
      </c>
      <c r="E7" s="260" t="s">
        <v>36</v>
      </c>
      <c r="F7" s="260">
        <v>100</v>
      </c>
      <c r="G7" s="260" t="s">
        <v>36</v>
      </c>
      <c r="H7" s="260">
        <f>IF(G7=C7,100,"请调整")</f>
        <v>100</v>
      </c>
      <c r="I7" s="260" t="s">
        <v>36</v>
      </c>
      <c r="J7" s="260">
        <f>IF(I7=G7,100,"请调整")</f>
        <v>100</v>
      </c>
      <c r="M7" s="286"/>
    </row>
    <row r="8" spans="1:18">
      <c r="A8" s="327" t="s">
        <v>1035</v>
      </c>
      <c r="B8" s="324"/>
      <c r="C8" s="261" t="s">
        <v>1036</v>
      </c>
      <c r="D8" s="18">
        <v>100</v>
      </c>
      <c r="E8" s="261" t="s">
        <v>1036</v>
      </c>
      <c r="F8" s="260">
        <v>100</v>
      </c>
      <c r="G8" s="261" t="s">
        <v>1036</v>
      </c>
      <c r="H8" s="260">
        <v>100</v>
      </c>
      <c r="I8" s="261" t="s">
        <v>1036</v>
      </c>
      <c r="J8" s="260">
        <v>100</v>
      </c>
      <c r="M8" s="286"/>
    </row>
    <row r="9" spans="1:18" ht="108" customHeight="1">
      <c r="A9" s="331" t="s">
        <v>37</v>
      </c>
      <c r="B9" s="19" t="s">
        <v>38</v>
      </c>
      <c r="C9" s="19" t="s">
        <v>1076</v>
      </c>
      <c r="D9" s="18">
        <v>100</v>
      </c>
      <c r="E9" s="284" t="s">
        <v>1090</v>
      </c>
      <c r="F9" s="263">
        <v>100</v>
      </c>
      <c r="G9" s="284" t="s">
        <v>1088</v>
      </c>
      <c r="H9" s="263">
        <f>F9</f>
        <v>100</v>
      </c>
      <c r="I9" s="284" t="s">
        <v>1089</v>
      </c>
      <c r="J9" s="263">
        <f>H9</f>
        <v>100</v>
      </c>
      <c r="M9" s="286"/>
    </row>
    <row r="10" spans="1:18" ht="136.5" customHeight="1">
      <c r="A10" s="332"/>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2"/>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2"/>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3"/>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4"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5"/>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5"/>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5"/>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5"/>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5"/>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5"/>
      <c r="B20" s="133" t="s">
        <v>110</v>
      </c>
      <c r="C20" s="199" t="s">
        <v>1171</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5"/>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5"/>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5"/>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30" t="s">
        <v>51</v>
      </c>
      <c r="B27" s="330"/>
      <c r="C27" s="324" t="s">
        <v>52</v>
      </c>
      <c r="D27" s="324"/>
      <c r="E27" s="329">
        <f>E5</f>
        <v>118.68</v>
      </c>
      <c r="F27" s="329"/>
      <c r="G27" s="329">
        <f>G5</f>
        <v>112.24</v>
      </c>
      <c r="H27" s="329"/>
      <c r="I27" s="320">
        <f>I5</f>
        <v>91.43</v>
      </c>
      <c r="J27" s="321"/>
    </row>
    <row r="28" spans="1:18">
      <c r="A28" s="330" t="s">
        <v>53</v>
      </c>
      <c r="B28" s="330"/>
      <c r="C28" s="324" t="s">
        <v>52</v>
      </c>
      <c r="D28" s="324"/>
      <c r="E28" s="329">
        <f>ROUND(E27*POWER(100,COUNT(F6:F26))/PRODUCT(F6:F26),2)</f>
        <v>95.13</v>
      </c>
      <c r="F28" s="329"/>
      <c r="G28" s="329">
        <f>ROUND(G27*POWER(100,COUNT(H6:H26))/PRODUCT(H6:H26),2)</f>
        <v>90.86</v>
      </c>
      <c r="H28" s="329"/>
      <c r="I28" s="320">
        <f>ROUND(I27*POWER(100,COUNT(J6:J26))/PRODUCT(J6:J26),2)</f>
        <v>84.54</v>
      </c>
      <c r="J28" s="321"/>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36" t="s">
        <v>988</v>
      </c>
      <c r="B4" s="90">
        <v>44562</v>
      </c>
      <c r="C4" s="35">
        <v>1</v>
      </c>
      <c r="D4" s="69">
        <f>中指数据!M43</f>
        <v>48.95</v>
      </c>
      <c r="E4" s="338">
        <v>4</v>
      </c>
      <c r="F4" s="240">
        <f>G4-$N$7-N8</f>
        <v>45.77</v>
      </c>
      <c r="G4" s="341">
        <f>ROUND(AVERAGE(D4:D6),2)</f>
        <v>49.77</v>
      </c>
      <c r="H4" s="54"/>
      <c r="J4" s="182" t="str">
        <f>G3</f>
        <v>含物业费和取暖费</v>
      </c>
    </row>
    <row r="5" spans="1:15">
      <c r="A5" s="336"/>
      <c r="B5" s="90">
        <v>44593</v>
      </c>
      <c r="C5" s="35">
        <v>1</v>
      </c>
      <c r="D5" s="69">
        <f>中指数据!L43</f>
        <v>50.07</v>
      </c>
      <c r="E5" s="338"/>
      <c r="F5" s="240"/>
      <c r="G5" s="341"/>
      <c r="H5" s="54"/>
      <c r="I5" s="55" t="s">
        <v>861</v>
      </c>
      <c r="J5" s="171" t="s">
        <v>62</v>
      </c>
      <c r="K5" s="67" t="s">
        <v>63</v>
      </c>
      <c r="L5" s="148" t="s">
        <v>64</v>
      </c>
    </row>
    <row r="6" spans="1:15">
      <c r="A6" s="336"/>
      <c r="B6" s="90">
        <v>44621</v>
      </c>
      <c r="C6" s="35">
        <v>1</v>
      </c>
      <c r="D6" s="69">
        <f>中指数据!K43</f>
        <v>50.29</v>
      </c>
      <c r="E6" s="338"/>
      <c r="F6" s="240">
        <f>G6-$N$7-N8</f>
        <v>-4</v>
      </c>
      <c r="G6" s="341"/>
      <c r="H6" s="54"/>
      <c r="I6" s="68" t="s">
        <v>65</v>
      </c>
      <c r="J6" s="174">
        <f>G16</f>
        <v>50.91</v>
      </c>
      <c r="K6" s="70"/>
      <c r="L6" s="337">
        <f>ROUND(AVERAGE(J6:J8),2)</f>
        <v>52.06</v>
      </c>
      <c r="M6" s="29" t="s">
        <v>933</v>
      </c>
      <c r="N6" s="44">
        <f>ROUND((L6-N7-N8)/(1+5%)*2.5%,2)</f>
        <v>1.1399999999999999</v>
      </c>
    </row>
    <row r="7" spans="1:15" ht="15" customHeight="1">
      <c r="A7" s="336" t="s">
        <v>902</v>
      </c>
      <c r="B7" s="90">
        <v>44652</v>
      </c>
      <c r="C7" s="35">
        <v>2</v>
      </c>
      <c r="D7" s="69" t="str">
        <f>中指数据!J43</f>
        <v>--</v>
      </c>
      <c r="E7" s="338">
        <v>3</v>
      </c>
      <c r="F7" s="240"/>
      <c r="G7" s="341">
        <f t="shared" ref="G7" si="0">ROUND(AVERAGE(D7:D9),2)</f>
        <v>50.28</v>
      </c>
      <c r="H7" s="54"/>
      <c r="I7" s="68" t="s">
        <v>66</v>
      </c>
      <c r="J7" s="209" t="s">
        <v>203</v>
      </c>
      <c r="K7" s="70"/>
      <c r="L7" s="338"/>
      <c r="M7" s="157" t="s">
        <v>104</v>
      </c>
      <c r="N7" s="158">
        <v>1.5</v>
      </c>
      <c r="O7" s="29"/>
    </row>
    <row r="8" spans="1:15">
      <c r="A8" s="336"/>
      <c r="B8" s="90">
        <v>44682</v>
      </c>
      <c r="C8" s="35">
        <v>3</v>
      </c>
      <c r="D8" s="69">
        <f>中指数据!I43</f>
        <v>49.86</v>
      </c>
      <c r="E8" s="338"/>
      <c r="F8" s="240"/>
      <c r="G8" s="341"/>
      <c r="H8" s="54"/>
      <c r="I8" s="68" t="s">
        <v>67</v>
      </c>
      <c r="J8" s="175">
        <f>G48</f>
        <v>53.21</v>
      </c>
      <c r="K8" s="70"/>
      <c r="L8" s="338"/>
      <c r="M8" s="157" t="s">
        <v>149</v>
      </c>
      <c r="N8" s="158">
        <f>30/12</f>
        <v>2.5</v>
      </c>
      <c r="O8" s="44" t="s">
        <v>683</v>
      </c>
    </row>
    <row r="9" spans="1:15" ht="15">
      <c r="A9" s="336"/>
      <c r="B9" s="90">
        <v>44713</v>
      </c>
      <c r="C9" s="35">
        <v>2</v>
      </c>
      <c r="D9" s="69">
        <f>中指数据!H43</f>
        <v>50.7</v>
      </c>
      <c r="E9" s="338"/>
      <c r="F9" s="240">
        <f>G5-N7-N8</f>
        <v>-4</v>
      </c>
      <c r="G9" s="341"/>
      <c r="H9" s="54"/>
      <c r="J9" s="182" t="s">
        <v>872</v>
      </c>
      <c r="L9" s="183">
        <f>L6-N7-N8-N6</f>
        <v>46.92</v>
      </c>
    </row>
    <row r="10" spans="1:15" ht="15" customHeight="1">
      <c r="A10" s="336" t="s">
        <v>903</v>
      </c>
      <c r="B10" s="90">
        <v>44743</v>
      </c>
      <c r="C10" s="35">
        <v>2</v>
      </c>
      <c r="D10" s="69">
        <f>中指数据!G43</f>
        <v>53.16</v>
      </c>
      <c r="E10" s="338">
        <v>4</v>
      </c>
      <c r="F10" s="240"/>
      <c r="G10" s="341">
        <f t="shared" ref="G10" si="1">ROUND(AVERAGE(D10:D12),2)</f>
        <v>52.61</v>
      </c>
      <c r="H10" s="54"/>
    </row>
    <row r="11" spans="1:15">
      <c r="A11" s="336"/>
      <c r="B11" s="90">
        <v>44774</v>
      </c>
      <c r="C11" s="35">
        <v>3</v>
      </c>
      <c r="D11" s="69">
        <f>中指数据!F43</f>
        <v>51.2</v>
      </c>
      <c r="E11" s="338"/>
      <c r="F11" s="240"/>
      <c r="G11" s="341"/>
      <c r="H11" s="54"/>
    </row>
    <row r="12" spans="1:15">
      <c r="A12" s="336"/>
      <c r="B12" s="90">
        <v>44805</v>
      </c>
      <c r="C12" s="35">
        <v>2</v>
      </c>
      <c r="D12" s="69">
        <f>中指数据!E43</f>
        <v>53.47</v>
      </c>
      <c r="E12" s="338"/>
      <c r="F12" s="240">
        <f>G7-N7-N8</f>
        <v>46.28</v>
      </c>
      <c r="G12" s="341"/>
      <c r="H12" s="54"/>
    </row>
    <row r="13" spans="1:15" ht="15" customHeight="1">
      <c r="A13" s="336" t="s">
        <v>952</v>
      </c>
      <c r="B13" s="90">
        <v>44835</v>
      </c>
      <c r="C13" s="89">
        <v>1</v>
      </c>
      <c r="D13" s="72">
        <f>中指数据!D43</f>
        <v>51.77</v>
      </c>
      <c r="E13" s="338">
        <v>3</v>
      </c>
      <c r="F13" s="240"/>
      <c r="G13" s="341">
        <f t="shared" ref="G13" si="2">ROUND(AVERAGE(D13:D15),2)</f>
        <v>50.97</v>
      </c>
      <c r="H13" s="54"/>
    </row>
    <row r="14" spans="1:15">
      <c r="A14" s="336"/>
      <c r="B14" s="90">
        <v>44866</v>
      </c>
      <c r="C14" s="221"/>
      <c r="D14" s="72">
        <f>中指数据!C43</f>
        <v>50.41</v>
      </c>
      <c r="E14" s="338"/>
      <c r="F14" s="240"/>
      <c r="G14" s="341"/>
      <c r="H14" s="54"/>
    </row>
    <row r="15" spans="1:15">
      <c r="A15" s="336"/>
      <c r="B15" s="90">
        <v>44896</v>
      </c>
      <c r="C15" s="221"/>
      <c r="D15" s="219">
        <f>中指数据!B43</f>
        <v>50.72</v>
      </c>
      <c r="E15" s="338"/>
      <c r="F15" s="240">
        <f>G10-N7-N8</f>
        <v>48.61</v>
      </c>
      <c r="G15" s="341"/>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36" t="s">
        <v>870</v>
      </c>
      <c r="B20" s="90">
        <v>44470</v>
      </c>
      <c r="C20" s="67"/>
      <c r="D20" s="27"/>
      <c r="E20" s="338"/>
      <c r="F20" s="195"/>
      <c r="G20" s="338"/>
      <c r="H20" s="54"/>
    </row>
    <row r="21" spans="1:8" hidden="1">
      <c r="A21" s="336"/>
      <c r="B21" s="90">
        <v>44501</v>
      </c>
      <c r="C21" s="67"/>
      <c r="D21" s="27"/>
      <c r="E21" s="338"/>
      <c r="F21" s="195"/>
      <c r="G21" s="338"/>
      <c r="H21" s="54"/>
    </row>
    <row r="22" spans="1:8" hidden="1">
      <c r="A22" s="336"/>
      <c r="B22" s="90">
        <v>44531</v>
      </c>
      <c r="C22" s="67"/>
      <c r="D22" s="27"/>
      <c r="E22" s="338"/>
      <c r="F22" s="195"/>
      <c r="G22" s="338"/>
      <c r="H22" s="54"/>
    </row>
    <row r="23" spans="1:8" ht="15" hidden="1" customHeight="1">
      <c r="A23" s="336" t="s">
        <v>869</v>
      </c>
      <c r="B23" s="90">
        <v>44562</v>
      </c>
      <c r="C23" s="67"/>
      <c r="D23" s="27"/>
      <c r="E23" s="338"/>
      <c r="F23" s="195"/>
      <c r="G23" s="338"/>
      <c r="H23" s="54"/>
    </row>
    <row r="24" spans="1:8" hidden="1">
      <c r="A24" s="336"/>
      <c r="B24" s="90">
        <v>44593</v>
      </c>
      <c r="C24" s="67"/>
      <c r="D24" s="27"/>
      <c r="E24" s="338"/>
      <c r="F24" s="195"/>
      <c r="G24" s="338"/>
      <c r="H24" s="54"/>
    </row>
    <row r="25" spans="1:8" hidden="1">
      <c r="A25" s="336"/>
      <c r="B25" s="90">
        <v>44621</v>
      </c>
      <c r="C25" s="67"/>
      <c r="D25" s="27"/>
      <c r="E25" s="338"/>
      <c r="F25" s="195"/>
      <c r="G25" s="338"/>
      <c r="H25" s="54"/>
    </row>
    <row r="26" spans="1:8" ht="15" hidden="1" customHeight="1">
      <c r="A26" s="336" t="s">
        <v>902</v>
      </c>
      <c r="B26" s="90">
        <v>44652</v>
      </c>
      <c r="C26" s="67"/>
      <c r="D26" s="27"/>
      <c r="E26" s="338"/>
      <c r="F26" s="195"/>
      <c r="G26" s="338"/>
      <c r="H26" s="54"/>
    </row>
    <row r="27" spans="1:8" hidden="1">
      <c r="A27" s="336"/>
      <c r="B27" s="90">
        <v>44682</v>
      </c>
      <c r="C27" s="67"/>
      <c r="D27" s="27"/>
      <c r="E27" s="338"/>
      <c r="F27" s="195"/>
      <c r="G27" s="338"/>
      <c r="H27" s="54"/>
    </row>
    <row r="28" spans="1:8" hidden="1">
      <c r="A28" s="336"/>
      <c r="B28" s="90">
        <v>44713</v>
      </c>
      <c r="C28" s="67"/>
      <c r="D28" s="27"/>
      <c r="E28" s="338"/>
      <c r="F28" s="195"/>
      <c r="G28" s="338"/>
      <c r="H28" s="54"/>
    </row>
    <row r="29" spans="1:8" ht="15" hidden="1" customHeight="1">
      <c r="A29" s="336" t="s">
        <v>903</v>
      </c>
      <c r="B29" s="90">
        <v>44743</v>
      </c>
      <c r="C29" s="67"/>
      <c r="D29" s="27"/>
      <c r="E29" s="338"/>
      <c r="F29" s="195"/>
      <c r="G29" s="338"/>
      <c r="H29" s="54"/>
    </row>
    <row r="30" spans="1:8" hidden="1">
      <c r="A30" s="336"/>
      <c r="B30" s="90">
        <v>44774</v>
      </c>
      <c r="C30" s="67"/>
      <c r="D30" s="27"/>
      <c r="E30" s="338"/>
      <c r="F30" s="195"/>
      <c r="G30" s="338"/>
      <c r="H30" s="54"/>
    </row>
    <row r="31" spans="1:8" hidden="1">
      <c r="A31" s="336"/>
      <c r="B31" s="90">
        <v>44805</v>
      </c>
      <c r="C31" s="67"/>
      <c r="D31" s="27"/>
      <c r="E31" s="338"/>
      <c r="F31" s="187"/>
      <c r="G31" s="338"/>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36" t="s">
        <v>988</v>
      </c>
      <c r="B36" s="90">
        <v>44562</v>
      </c>
      <c r="C36" s="67"/>
      <c r="D36" s="219" t="s">
        <v>203</v>
      </c>
      <c r="E36" s="338">
        <v>2</v>
      </c>
      <c r="F36" s="229">
        <f>G36-N8-N7</f>
        <v>50.69</v>
      </c>
      <c r="G36" s="341">
        <f>ROUND(AVERAGE(D36:D38),2)</f>
        <v>54.69</v>
      </c>
      <c r="H36" s="339"/>
    </row>
    <row r="37" spans="1:8">
      <c r="A37" s="336"/>
      <c r="B37" s="90">
        <v>44593</v>
      </c>
      <c r="C37" s="67">
        <v>6</v>
      </c>
      <c r="D37" s="226">
        <f>市场数据!M9</f>
        <v>54.69</v>
      </c>
      <c r="E37" s="338"/>
      <c r="F37" s="228"/>
      <c r="G37" s="341"/>
      <c r="H37" s="340"/>
    </row>
    <row r="38" spans="1:8">
      <c r="A38" s="336"/>
      <c r="B38" s="90">
        <v>44621</v>
      </c>
      <c r="C38" s="67">
        <v>4</v>
      </c>
      <c r="D38" s="242" t="s">
        <v>203</v>
      </c>
      <c r="E38" s="338"/>
      <c r="F38" s="229">
        <f>G38-N8-N7</f>
        <v>-4</v>
      </c>
      <c r="G38" s="341"/>
      <c r="H38" s="339"/>
    </row>
    <row r="39" spans="1:8" ht="15" customHeight="1">
      <c r="A39" s="336" t="s">
        <v>902</v>
      </c>
      <c r="B39" s="90">
        <v>44652</v>
      </c>
      <c r="C39" s="67">
        <v>2</v>
      </c>
      <c r="D39" s="226">
        <f>市场数据!M8</f>
        <v>54.12</v>
      </c>
      <c r="E39" s="338">
        <v>3</v>
      </c>
      <c r="F39" s="228"/>
      <c r="G39" s="341">
        <f>ROUND(AVERAGE(D39:D41),2)</f>
        <v>54.87</v>
      </c>
      <c r="H39" s="340"/>
    </row>
    <row r="40" spans="1:8">
      <c r="A40" s="336"/>
      <c r="B40" s="90">
        <v>44682</v>
      </c>
      <c r="C40" s="67">
        <v>5</v>
      </c>
      <c r="D40" s="242" t="s">
        <v>203</v>
      </c>
      <c r="E40" s="338"/>
      <c r="F40" s="195"/>
      <c r="G40" s="341"/>
      <c r="H40" s="340"/>
    </row>
    <row r="41" spans="1:8">
      <c r="A41" s="336"/>
      <c r="B41" s="90">
        <v>44713</v>
      </c>
      <c r="C41" s="67">
        <v>3</v>
      </c>
      <c r="D41" s="226">
        <f>市场数据!M6</f>
        <v>55.61</v>
      </c>
      <c r="E41" s="338"/>
      <c r="F41" s="194">
        <f>G37-N8-N7</f>
        <v>-4</v>
      </c>
      <c r="G41" s="341"/>
      <c r="H41" s="339"/>
    </row>
    <row r="42" spans="1:8" ht="15" customHeight="1">
      <c r="A42" s="336" t="s">
        <v>903</v>
      </c>
      <c r="B42" s="90">
        <v>44743</v>
      </c>
      <c r="C42" s="67">
        <v>2</v>
      </c>
      <c r="D42" s="242" t="s">
        <v>203</v>
      </c>
      <c r="E42" s="338">
        <v>4</v>
      </c>
      <c r="F42" s="195"/>
      <c r="G42" s="341">
        <f>ROUND(AVERAGE(D42:D44),2)</f>
        <v>50.63</v>
      </c>
      <c r="H42" s="340"/>
    </row>
    <row r="43" spans="1:8">
      <c r="A43" s="336"/>
      <c r="B43" s="90">
        <v>44774</v>
      </c>
      <c r="C43" s="67">
        <v>2</v>
      </c>
      <c r="D43" s="226">
        <f>市场数据!M5</f>
        <v>51.25</v>
      </c>
      <c r="E43" s="338"/>
      <c r="F43" s="195"/>
      <c r="G43" s="341"/>
      <c r="H43" s="340"/>
    </row>
    <row r="44" spans="1:8">
      <c r="A44" s="336"/>
      <c r="B44" s="90">
        <v>44805</v>
      </c>
      <c r="C44" s="67">
        <v>5</v>
      </c>
      <c r="D44" s="209">
        <f>市场数据!M4</f>
        <v>50</v>
      </c>
      <c r="E44" s="338"/>
      <c r="F44" s="194">
        <f>G40-N8-N7</f>
        <v>-4</v>
      </c>
      <c r="G44" s="341"/>
      <c r="H44" s="339"/>
    </row>
    <row r="45" spans="1:8" ht="15" customHeight="1">
      <c r="A45" s="336" t="s">
        <v>952</v>
      </c>
      <c r="B45" s="90">
        <v>44835</v>
      </c>
      <c r="C45" s="67">
        <v>5</v>
      </c>
      <c r="D45" s="242" t="s">
        <v>203</v>
      </c>
      <c r="E45" s="338">
        <v>2</v>
      </c>
      <c r="F45" s="195"/>
      <c r="G45" s="341">
        <f>ROUND(AVERAGE(D45:D47),2)</f>
        <v>52.63</v>
      </c>
      <c r="H45" s="340"/>
    </row>
    <row r="46" spans="1:8">
      <c r="A46" s="336"/>
      <c r="B46" s="90">
        <v>44866</v>
      </c>
      <c r="C46" s="67">
        <v>1</v>
      </c>
      <c r="D46" s="42">
        <f>市场数据!M2</f>
        <v>52.63</v>
      </c>
      <c r="E46" s="338"/>
      <c r="F46" s="195"/>
      <c r="G46" s="341"/>
      <c r="H46" s="340"/>
    </row>
    <row r="47" spans="1:8">
      <c r="A47" s="336"/>
      <c r="B47" s="90">
        <v>44896</v>
      </c>
      <c r="C47" s="67">
        <v>11</v>
      </c>
      <c r="D47" s="242" t="s">
        <v>203</v>
      </c>
      <c r="E47" s="338"/>
      <c r="F47" s="225" t="e">
        <f>D47-N7-N8</f>
        <v>#VALUE!</v>
      </c>
      <c r="G47" s="341"/>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45" t="s">
        <v>59</v>
      </c>
      <c r="C2" s="346"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36" t="s">
        <v>988</v>
      </c>
      <c r="B4" s="90">
        <v>44562</v>
      </c>
      <c r="C4" s="35">
        <v>2</v>
      </c>
      <c r="D4" s="69">
        <f>中指数据!M52</f>
        <v>43.52</v>
      </c>
      <c r="E4" s="338">
        <v>4</v>
      </c>
      <c r="F4" s="239" t="e">
        <f>G4-#REF!-#REF!</f>
        <v>#REF!</v>
      </c>
      <c r="G4" s="341">
        <f>ROUND(AVERAGE(D4:D6),2)</f>
        <v>45.33</v>
      </c>
      <c r="H4" s="162"/>
      <c r="J4" s="182" t="str">
        <f>合生世界村!$J$4</f>
        <v>含物业费和取暖费</v>
      </c>
      <c r="K4" s="78"/>
    </row>
    <row r="5" spans="1:13">
      <c r="A5" s="336"/>
      <c r="B5" s="90">
        <v>44593</v>
      </c>
      <c r="C5" s="35">
        <v>3</v>
      </c>
      <c r="D5" s="69">
        <f>中指数据!L52</f>
        <v>44.93</v>
      </c>
      <c r="E5" s="338"/>
      <c r="F5" s="240"/>
      <c r="G5" s="341"/>
      <c r="H5" s="162"/>
      <c r="I5" s="68" t="str">
        <f>合生世界村!$I$5</f>
        <v>数据来源</v>
      </c>
      <c r="J5" s="171" t="s">
        <v>62</v>
      </c>
      <c r="K5" s="75" t="s">
        <v>64</v>
      </c>
    </row>
    <row r="6" spans="1:13">
      <c r="A6" s="336"/>
      <c r="B6" s="90">
        <v>44621</v>
      </c>
      <c r="C6" s="35">
        <v>1</v>
      </c>
      <c r="D6" s="69">
        <f>中指数据!K52</f>
        <v>47.53</v>
      </c>
      <c r="E6" s="338"/>
      <c r="F6" s="239" t="e">
        <f>G6-#REF!-#REF!</f>
        <v>#REF!</v>
      </c>
      <c r="G6" s="341"/>
      <c r="H6" s="162"/>
      <c r="I6" s="68" t="s">
        <v>65</v>
      </c>
      <c r="J6" s="42">
        <f>G16</f>
        <v>46.56</v>
      </c>
      <c r="K6" s="344">
        <f>AVERAGE(J6:J8)</f>
        <v>47.275000000000006</v>
      </c>
      <c r="L6" s="29" t="s">
        <v>933</v>
      </c>
      <c r="M6" s="44">
        <f>ROUND((K6-M7-M8)/(1+5%)*2.5%,2)</f>
        <v>1.01</v>
      </c>
    </row>
    <row r="7" spans="1:13" ht="15" customHeight="1">
      <c r="A7" s="336" t="s">
        <v>902</v>
      </c>
      <c r="B7" s="90">
        <v>44652</v>
      </c>
      <c r="C7" s="35">
        <v>3</v>
      </c>
      <c r="D7" s="69">
        <f>中指数据!J52</f>
        <v>45.63</v>
      </c>
      <c r="E7" s="338">
        <v>3</v>
      </c>
      <c r="F7" s="240"/>
      <c r="G7" s="341">
        <f t="shared" ref="G7" si="0">ROUND(AVERAGE(D7:D9),2)</f>
        <v>46.49</v>
      </c>
      <c r="H7" s="162"/>
      <c r="I7" s="68" t="s">
        <v>66</v>
      </c>
      <c r="J7" s="209" t="s">
        <v>203</v>
      </c>
      <c r="K7" s="344"/>
      <c r="L7" s="157" t="s">
        <v>104</v>
      </c>
      <c r="M7" s="158">
        <v>2.48</v>
      </c>
    </row>
    <row r="8" spans="1:13">
      <c r="A8" s="336"/>
      <c r="B8" s="90">
        <v>44682</v>
      </c>
      <c r="C8" s="35">
        <v>1</v>
      </c>
      <c r="D8" s="69">
        <f>中指数据!I52</f>
        <v>46.45</v>
      </c>
      <c r="E8" s="338"/>
      <c r="F8" s="195"/>
      <c r="G8" s="341"/>
      <c r="H8" s="162"/>
      <c r="I8" s="68" t="s">
        <v>67</v>
      </c>
      <c r="J8" s="56">
        <f>G48</f>
        <v>47.99</v>
      </c>
      <c r="K8" s="344"/>
      <c r="L8" s="158" t="str">
        <f>东亚瑞晶苑!M8</f>
        <v>取暖费</v>
      </c>
      <c r="M8" s="158">
        <v>2.5</v>
      </c>
    </row>
    <row r="9" spans="1:13" ht="15">
      <c r="A9" s="336"/>
      <c r="B9" s="90">
        <v>44713</v>
      </c>
      <c r="C9" s="35">
        <v>2</v>
      </c>
      <c r="D9" s="69">
        <f>中指数据!H52</f>
        <v>47.38</v>
      </c>
      <c r="E9" s="338"/>
      <c r="F9" s="194" t="e">
        <f>G5-#REF!-#REF!</f>
        <v>#REF!</v>
      </c>
      <c r="G9" s="341"/>
      <c r="H9" s="162"/>
      <c r="J9" s="182" t="str">
        <f>合生世界村!J9</f>
        <v>不含物业费和供暖费</v>
      </c>
      <c r="K9" s="183">
        <f>K6-M7-M8-M6</f>
        <v>41.285000000000011</v>
      </c>
    </row>
    <row r="10" spans="1:13" ht="15" customHeight="1">
      <c r="A10" s="336" t="s">
        <v>903</v>
      </c>
      <c r="B10" s="90">
        <v>44743</v>
      </c>
      <c r="C10" s="35">
        <v>3</v>
      </c>
      <c r="D10" s="69">
        <f>中指数据!G52</f>
        <v>47.8</v>
      </c>
      <c r="E10" s="338">
        <v>4</v>
      </c>
      <c r="F10" s="195"/>
      <c r="G10" s="341">
        <f t="shared" ref="G10" si="1">ROUND(AVERAGE(D10:D12),2)</f>
        <v>48.04</v>
      </c>
      <c r="H10" s="162"/>
      <c r="K10" s="78"/>
    </row>
    <row r="11" spans="1:13">
      <c r="A11" s="336"/>
      <c r="B11" s="90">
        <v>44774</v>
      </c>
      <c r="C11" s="35">
        <v>2</v>
      </c>
      <c r="D11" s="69">
        <f>中指数据!F52</f>
        <v>47.05</v>
      </c>
      <c r="E11" s="338"/>
      <c r="F11" s="195"/>
      <c r="G11" s="341"/>
      <c r="H11" s="162"/>
      <c r="K11" s="78"/>
    </row>
    <row r="12" spans="1:13">
      <c r="A12" s="336"/>
      <c r="B12" s="90">
        <v>44805</v>
      </c>
      <c r="C12" s="35">
        <v>2</v>
      </c>
      <c r="D12" s="69">
        <f>中指数据!E52</f>
        <v>49.27</v>
      </c>
      <c r="E12" s="338"/>
      <c r="F12" s="194" t="e">
        <f>G8-#REF!-#REF!</f>
        <v>#REF!</v>
      </c>
      <c r="G12" s="341"/>
      <c r="H12" s="162"/>
    </row>
    <row r="13" spans="1:13" ht="15" customHeight="1">
      <c r="A13" s="336" t="s">
        <v>952</v>
      </c>
      <c r="B13" s="90">
        <v>44835</v>
      </c>
      <c r="C13" s="35">
        <v>3</v>
      </c>
      <c r="D13" s="69">
        <f>中指数据!D52</f>
        <v>46.66</v>
      </c>
      <c r="E13" s="338">
        <v>3</v>
      </c>
      <c r="F13" s="195"/>
      <c r="G13" s="341">
        <f t="shared" ref="G13" si="2">ROUND(AVERAGE(D13:D15),2)</f>
        <v>46.39</v>
      </c>
      <c r="H13" s="162"/>
    </row>
    <row r="14" spans="1:13">
      <c r="A14" s="336"/>
      <c r="B14" s="90">
        <v>44866</v>
      </c>
      <c r="C14" s="35">
        <v>2</v>
      </c>
      <c r="D14" s="69">
        <f>中指数据!C52</f>
        <v>46.27</v>
      </c>
      <c r="E14" s="338"/>
      <c r="F14" s="195"/>
      <c r="G14" s="341"/>
      <c r="H14" s="162"/>
    </row>
    <row r="15" spans="1:13">
      <c r="A15" s="336"/>
      <c r="B15" s="90">
        <v>44896</v>
      </c>
      <c r="C15" s="35">
        <v>0</v>
      </c>
      <c r="D15" s="69">
        <f>中指数据!B52</f>
        <v>46.23</v>
      </c>
      <c r="E15" s="338"/>
      <c r="F15" s="239" t="e">
        <f>D15-#REF!-#REF!</f>
        <v>#REF!</v>
      </c>
      <c r="G15" s="341"/>
      <c r="H15" s="162"/>
    </row>
    <row r="16" spans="1:13">
      <c r="A16" s="347" t="s">
        <v>143</v>
      </c>
      <c r="B16" s="348"/>
      <c r="C16" s="348"/>
      <c r="D16" s="348"/>
      <c r="E16" s="348"/>
      <c r="F16" s="82" t="e">
        <f>ROUND(AVERAGE(F4:F11),2)</f>
        <v>#REF!</v>
      </c>
      <c r="G16" s="156">
        <f>ROUND(AVERAGE(G4:G15),2)</f>
        <v>46.56</v>
      </c>
      <c r="H16" s="165"/>
    </row>
    <row r="17" spans="1:8">
      <c r="G17" s="78"/>
    </row>
    <row r="18" spans="1:8" hidden="1">
      <c r="B18" s="349" t="s">
        <v>68</v>
      </c>
      <c r="C18" s="349"/>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36" t="s">
        <v>870</v>
      </c>
      <c r="B20" s="90">
        <v>44470</v>
      </c>
      <c r="C20" s="35"/>
      <c r="D20" s="69"/>
      <c r="E20" s="338"/>
      <c r="F20" s="341"/>
      <c r="G20" s="341"/>
      <c r="H20" s="165"/>
    </row>
    <row r="21" spans="1:8" hidden="1">
      <c r="A21" s="336"/>
      <c r="B21" s="90">
        <v>44501</v>
      </c>
      <c r="C21" s="35"/>
      <c r="D21" s="138"/>
      <c r="E21" s="338"/>
      <c r="F21" s="341"/>
      <c r="G21" s="341"/>
      <c r="H21" s="165"/>
    </row>
    <row r="22" spans="1:8" hidden="1">
      <c r="A22" s="336"/>
      <c r="B22" s="90">
        <v>44531</v>
      </c>
      <c r="C22" s="35"/>
      <c r="D22" s="138"/>
      <c r="E22" s="338"/>
      <c r="F22" s="341"/>
      <c r="G22" s="341"/>
      <c r="H22" s="165"/>
    </row>
    <row r="23" spans="1:8" ht="15" hidden="1" customHeight="1">
      <c r="A23" s="336" t="s">
        <v>869</v>
      </c>
      <c r="B23" s="90">
        <v>44562</v>
      </c>
      <c r="C23" s="35"/>
      <c r="D23" s="138"/>
      <c r="E23" s="351"/>
      <c r="F23" s="341"/>
      <c r="G23" s="341"/>
      <c r="H23" s="165"/>
    </row>
    <row r="24" spans="1:8" hidden="1">
      <c r="A24" s="336"/>
      <c r="B24" s="90">
        <v>44593</v>
      </c>
      <c r="C24" s="35"/>
      <c r="D24" s="138"/>
      <c r="E24" s="351"/>
      <c r="F24" s="341"/>
      <c r="G24" s="341"/>
      <c r="H24" s="165"/>
    </row>
    <row r="25" spans="1:8" ht="14.1" hidden="1" customHeight="1">
      <c r="A25" s="336"/>
      <c r="B25" s="90">
        <v>44621</v>
      </c>
      <c r="C25" s="35"/>
      <c r="D25" s="188"/>
      <c r="E25" s="351"/>
      <c r="F25" s="341"/>
      <c r="G25" s="341"/>
      <c r="H25" s="165"/>
    </row>
    <row r="26" spans="1:8" ht="14.1" hidden="1" customHeight="1">
      <c r="A26" s="336" t="s">
        <v>902</v>
      </c>
      <c r="B26" s="90">
        <v>44652</v>
      </c>
      <c r="C26" s="35"/>
      <c r="D26" s="188"/>
      <c r="E26" s="338"/>
      <c r="F26" s="341"/>
      <c r="G26" s="341"/>
      <c r="H26" s="165"/>
    </row>
    <row r="27" spans="1:8" ht="14.1" hidden="1" customHeight="1">
      <c r="A27" s="336"/>
      <c r="B27" s="90">
        <v>44682</v>
      </c>
      <c r="C27" s="35"/>
      <c r="D27" s="188"/>
      <c r="E27" s="338"/>
      <c r="F27" s="341"/>
      <c r="G27" s="341"/>
      <c r="H27" s="165"/>
    </row>
    <row r="28" spans="1:8" hidden="1">
      <c r="A28" s="336"/>
      <c r="B28" s="90">
        <v>44713</v>
      </c>
      <c r="C28" s="35"/>
      <c r="D28" s="188"/>
      <c r="E28" s="338"/>
      <c r="F28" s="341"/>
      <c r="G28" s="341"/>
      <c r="H28" s="165"/>
    </row>
    <row r="29" spans="1:8" ht="15" hidden="1" customHeight="1">
      <c r="A29" s="336" t="s">
        <v>903</v>
      </c>
      <c r="B29" s="90">
        <v>44743</v>
      </c>
      <c r="C29" s="35"/>
      <c r="D29" s="188"/>
      <c r="E29" s="351"/>
      <c r="F29" s="341"/>
      <c r="G29" s="341"/>
      <c r="H29" s="165"/>
    </row>
    <row r="30" spans="1:8" hidden="1">
      <c r="A30" s="336"/>
      <c r="B30" s="90">
        <v>44774</v>
      </c>
      <c r="C30" s="35"/>
      <c r="D30" s="188"/>
      <c r="E30" s="351"/>
      <c r="F30" s="341"/>
      <c r="G30" s="352"/>
      <c r="H30" s="165"/>
    </row>
    <row r="31" spans="1:8" hidden="1">
      <c r="A31" s="336"/>
      <c r="B31" s="90">
        <v>44805</v>
      </c>
      <c r="C31" s="35"/>
      <c r="D31" s="188"/>
      <c r="E31" s="351"/>
      <c r="F31" s="341"/>
      <c r="G31" s="353"/>
      <c r="H31" s="165"/>
    </row>
    <row r="32" spans="1:8" hidden="1">
      <c r="A32" s="336" t="str">
        <f>A16</f>
        <v>平均月租金（元/平方米/月）</v>
      </c>
      <c r="B32" s="336"/>
      <c r="C32" s="336"/>
      <c r="D32" s="336"/>
      <c r="E32" s="336"/>
      <c r="F32" s="82" t="e">
        <f>ROUND(AVERAGE(F20:F30),2)</f>
        <v>#DIV/0!</v>
      </c>
      <c r="G32" s="156" t="e">
        <f>ROUND(AVERAGE(G20:G31),2)</f>
        <v>#DIV/0!</v>
      </c>
      <c r="H32" s="165"/>
    </row>
    <row r="33" spans="1:8">
      <c r="G33" s="78"/>
    </row>
    <row r="34" spans="1:8">
      <c r="B34" s="349" t="s">
        <v>71</v>
      </c>
      <c r="C34" s="349"/>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36" t="s">
        <v>988</v>
      </c>
      <c r="B36" s="90">
        <v>44562</v>
      </c>
      <c r="C36" s="68">
        <v>2</v>
      </c>
      <c r="D36" s="209">
        <f>市场数据!M53</f>
        <v>47.15</v>
      </c>
      <c r="E36" s="338">
        <v>5</v>
      </c>
      <c r="F36" s="239" t="e">
        <f>G36-#REF!-#REF!</f>
        <v>#REF!</v>
      </c>
      <c r="G36" s="341">
        <f>ROUND(AVERAGE(D36:D38),2)</f>
        <v>47.03</v>
      </c>
      <c r="H36" s="343"/>
    </row>
    <row r="37" spans="1:8">
      <c r="A37" s="336"/>
      <c r="B37" s="90">
        <v>44593</v>
      </c>
      <c r="C37" s="68">
        <v>4</v>
      </c>
      <c r="D37" s="242" t="s">
        <v>203</v>
      </c>
      <c r="E37" s="338"/>
      <c r="F37" s="240"/>
      <c r="G37" s="341"/>
      <c r="H37" s="343"/>
    </row>
    <row r="38" spans="1:8">
      <c r="A38" s="336"/>
      <c r="B38" s="90">
        <v>44621</v>
      </c>
      <c r="C38" s="68">
        <v>4</v>
      </c>
      <c r="D38" s="83">
        <f>市场数据!M50</f>
        <v>46.9</v>
      </c>
      <c r="E38" s="338"/>
      <c r="F38" s="239" t="e">
        <f>G38-#REF!-#REF!</f>
        <v>#REF!</v>
      </c>
      <c r="G38" s="341"/>
      <c r="H38" s="343"/>
    </row>
    <row r="39" spans="1:8" ht="15" customHeight="1">
      <c r="A39" s="336" t="s">
        <v>902</v>
      </c>
      <c r="B39" s="90">
        <v>44652</v>
      </c>
      <c r="C39" s="68">
        <v>4</v>
      </c>
      <c r="D39" s="83">
        <f>市场数据!M49</f>
        <v>53.76</v>
      </c>
      <c r="E39" s="338">
        <v>3</v>
      </c>
      <c r="F39" s="240"/>
      <c r="G39" s="342">
        <f>ROUND(AVERAGE(D39:D41),2)</f>
        <v>48.44</v>
      </c>
      <c r="H39" s="343"/>
    </row>
    <row r="40" spans="1:8">
      <c r="A40" s="336"/>
      <c r="B40" s="90">
        <v>44682</v>
      </c>
      <c r="C40" s="68">
        <v>1</v>
      </c>
      <c r="D40" s="209">
        <f>市场数据!M48</f>
        <v>45.16</v>
      </c>
      <c r="E40" s="338"/>
      <c r="F40" s="195"/>
      <c r="G40" s="341"/>
      <c r="H40" s="343"/>
    </row>
    <row r="41" spans="1:8">
      <c r="A41" s="336"/>
      <c r="B41" s="90">
        <v>44713</v>
      </c>
      <c r="C41" s="68" t="s">
        <v>148</v>
      </c>
      <c r="D41" s="83">
        <f>市场数据!M47</f>
        <v>46.39</v>
      </c>
      <c r="E41" s="338"/>
      <c r="F41" s="194" t="e">
        <f>G37-#REF!-#REF!</f>
        <v>#REF!</v>
      </c>
      <c r="G41" s="341"/>
      <c r="H41" s="343"/>
    </row>
    <row r="42" spans="1:8" ht="15" customHeight="1">
      <c r="A42" s="336" t="s">
        <v>903</v>
      </c>
      <c r="B42" s="90">
        <v>44743</v>
      </c>
      <c r="C42" s="68">
        <v>1</v>
      </c>
      <c r="D42" s="83">
        <f>市场数据!M44</f>
        <v>46.52</v>
      </c>
      <c r="E42" s="338">
        <v>6</v>
      </c>
      <c r="F42" s="195"/>
      <c r="G42" s="341">
        <f t="shared" ref="G42" si="3">ROUND(AVERAGE(D42:D44),2)</f>
        <v>46.4</v>
      </c>
      <c r="H42" s="343"/>
    </row>
    <row r="43" spans="1:8">
      <c r="A43" s="336"/>
      <c r="B43" s="90">
        <v>44774</v>
      </c>
      <c r="C43" s="68">
        <v>3</v>
      </c>
      <c r="D43" s="209">
        <f>市场数据!M43</f>
        <v>46.51</v>
      </c>
      <c r="E43" s="338"/>
      <c r="F43" s="195"/>
      <c r="G43" s="341"/>
      <c r="H43" s="343"/>
    </row>
    <row r="44" spans="1:8">
      <c r="A44" s="336"/>
      <c r="B44" s="90">
        <v>44805</v>
      </c>
      <c r="C44" s="68">
        <v>3</v>
      </c>
      <c r="D44" s="83">
        <f>市场数据!M41</f>
        <v>46.17</v>
      </c>
      <c r="E44" s="338"/>
      <c r="F44" s="194" t="e">
        <f>G40-#REF!-#REF!</f>
        <v>#REF!</v>
      </c>
      <c r="G44" s="341"/>
      <c r="H44" s="343"/>
    </row>
    <row r="45" spans="1:8" ht="15" customHeight="1">
      <c r="A45" s="336" t="s">
        <v>952</v>
      </c>
      <c r="B45" s="90">
        <v>44835</v>
      </c>
      <c r="C45" s="68">
        <v>4</v>
      </c>
      <c r="D45" s="83">
        <f>市场数据!M38</f>
        <v>47.49</v>
      </c>
      <c r="E45" s="338">
        <v>11</v>
      </c>
      <c r="F45" s="195"/>
      <c r="G45" s="341">
        <f t="shared" ref="G45" si="4">ROUND(AVERAGE(D45:D47),2)</f>
        <v>50.08</v>
      </c>
      <c r="H45" s="343"/>
    </row>
    <row r="46" spans="1:8">
      <c r="A46" s="336"/>
      <c r="B46" s="90">
        <v>44866</v>
      </c>
      <c r="C46" s="68">
        <v>4</v>
      </c>
      <c r="D46" s="209">
        <f>市场数据!M34</f>
        <v>43.95</v>
      </c>
      <c r="E46" s="338"/>
      <c r="F46" s="195"/>
      <c r="G46" s="341"/>
      <c r="H46" s="343"/>
    </row>
    <row r="47" spans="1:8">
      <c r="A47" s="336"/>
      <c r="B47" s="90">
        <v>44896</v>
      </c>
      <c r="C47" s="68">
        <v>2</v>
      </c>
      <c r="D47" s="224">
        <f>市场数据!M30</f>
        <v>58.8</v>
      </c>
      <c r="E47" s="338"/>
      <c r="F47" s="239" t="e">
        <f>D47-#REF!-#REF!</f>
        <v>#REF!</v>
      </c>
      <c r="G47" s="341"/>
      <c r="H47" s="165"/>
    </row>
    <row r="48" spans="1:8">
      <c r="A48" s="336" t="str">
        <f>A16</f>
        <v>平均月租金（元/平方米/月）</v>
      </c>
      <c r="B48" s="336"/>
      <c r="C48" s="336"/>
      <c r="D48" s="336"/>
      <c r="E48" s="336"/>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50" t="s">
        <v>62</v>
      </c>
      <c r="B56" s="350"/>
      <c r="C56" s="350"/>
      <c r="D56" s="350"/>
      <c r="E56" s="350"/>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50" t="s">
        <v>62</v>
      </c>
      <c r="B64" s="350"/>
      <c r="C64" s="350"/>
      <c r="D64" s="350"/>
      <c r="E64" s="350"/>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50" t="s">
        <v>62</v>
      </c>
      <c r="B72" s="350"/>
      <c r="C72" s="350"/>
      <c r="D72" s="350"/>
      <c r="E72" s="350"/>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5" t="s">
        <v>59</v>
      </c>
      <c r="C2" s="356"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36" t="s">
        <v>988</v>
      </c>
      <c r="B4" s="90">
        <v>44562</v>
      </c>
      <c r="C4" s="95">
        <v>1</v>
      </c>
      <c r="D4" s="220">
        <f>中指数据!M49</f>
        <v>46.27</v>
      </c>
      <c r="E4" s="338">
        <v>4</v>
      </c>
      <c r="F4" s="239" t="e">
        <f>G4-#REF!-#REF!</f>
        <v>#REF!</v>
      </c>
      <c r="G4" s="341">
        <f>ROUND(AVERAGE(D4:D6),2)</f>
        <v>46.37</v>
      </c>
      <c r="H4" s="162"/>
      <c r="J4" s="185" t="str">
        <f>东亚瑞晶苑!J4</f>
        <v>含物业费和取暖费</v>
      </c>
    </row>
    <row r="5" spans="1:14">
      <c r="A5" s="336"/>
      <c r="B5" s="90">
        <v>44593</v>
      </c>
      <c r="C5" s="95">
        <v>2</v>
      </c>
      <c r="D5" s="139">
        <f>中指数据!L49</f>
        <v>46.94</v>
      </c>
      <c r="E5" s="338"/>
      <c r="F5" s="240"/>
      <c r="G5" s="341"/>
      <c r="H5" s="162"/>
      <c r="I5" s="76" t="str">
        <f>东亚瑞晶苑!I5</f>
        <v>数据来源</v>
      </c>
      <c r="J5" s="171" t="s">
        <v>62</v>
      </c>
      <c r="K5" s="75" t="s">
        <v>63</v>
      </c>
      <c r="L5" s="75" t="s">
        <v>64</v>
      </c>
      <c r="M5" s="29"/>
      <c r="N5" s="44"/>
    </row>
    <row r="6" spans="1:14">
      <c r="A6" s="336"/>
      <c r="B6" s="90">
        <v>44621</v>
      </c>
      <c r="C6" s="95">
        <v>1</v>
      </c>
      <c r="D6" s="139">
        <f>中指数据!K49</f>
        <v>45.91</v>
      </c>
      <c r="E6" s="338"/>
      <c r="F6" s="239" t="e">
        <f>G6-#REF!-#REF!</f>
        <v>#REF!</v>
      </c>
      <c r="G6" s="341"/>
      <c r="H6" s="162"/>
      <c r="I6" s="76" t="s">
        <v>65</v>
      </c>
      <c r="J6" s="154">
        <f>G16</f>
        <v>48.8</v>
      </c>
      <c r="K6" s="163"/>
      <c r="L6" s="342">
        <f>ROUND(AVERAGE(J6:J8),2)</f>
        <v>50.33</v>
      </c>
      <c r="M6" s="29" t="s">
        <v>933</v>
      </c>
      <c r="N6" s="44">
        <f>ROUND((L6-N7-N8)/(1+5%)*2.5%,2)</f>
        <v>1.08</v>
      </c>
    </row>
    <row r="7" spans="1:14" ht="15" customHeight="1">
      <c r="A7" s="336" t="s">
        <v>902</v>
      </c>
      <c r="B7" s="90">
        <v>44652</v>
      </c>
      <c r="C7" s="95">
        <v>2</v>
      </c>
      <c r="D7" s="139" t="str">
        <f>中指数据!J49</f>
        <v>--</v>
      </c>
      <c r="E7" s="338">
        <v>3</v>
      </c>
      <c r="F7" s="240"/>
      <c r="G7" s="341">
        <f t="shared" ref="G7" si="0">ROUND(AVERAGE(D7:D9),2)</f>
        <v>51.56</v>
      </c>
      <c r="H7" s="162"/>
      <c r="I7" s="76" t="s">
        <v>66</v>
      </c>
      <c r="J7" s="209" t="s">
        <v>203</v>
      </c>
      <c r="K7" s="163"/>
      <c r="L7" s="341"/>
      <c r="M7" s="157" t="s">
        <v>104</v>
      </c>
      <c r="N7" s="158">
        <v>2.48</v>
      </c>
    </row>
    <row r="8" spans="1:14">
      <c r="A8" s="336"/>
      <c r="B8" s="90">
        <v>44682</v>
      </c>
      <c r="C8" s="95">
        <v>1</v>
      </c>
      <c r="D8" s="139">
        <f>中指数据!I49</f>
        <v>50.94</v>
      </c>
      <c r="E8" s="338"/>
      <c r="F8" s="195"/>
      <c r="G8" s="341"/>
      <c r="H8" s="162"/>
      <c r="I8" s="76" t="s">
        <v>67</v>
      </c>
      <c r="J8" s="173">
        <f>G48</f>
        <v>51.86</v>
      </c>
      <c r="K8" s="163"/>
      <c r="L8" s="341"/>
      <c r="M8" s="158" t="str">
        <f>东亚瑞晶苑!M8</f>
        <v>取暖费</v>
      </c>
      <c r="N8" s="158">
        <f>东亚瑞晶苑!N8</f>
        <v>2.5</v>
      </c>
    </row>
    <row r="9" spans="1:14" ht="15">
      <c r="A9" s="336"/>
      <c r="B9" s="90">
        <v>44713</v>
      </c>
      <c r="C9" s="95">
        <v>2</v>
      </c>
      <c r="D9" s="139">
        <f>中指数据!H49</f>
        <v>52.17</v>
      </c>
      <c r="E9" s="338"/>
      <c r="F9" s="194" t="e">
        <f>G5-#REF!-#REF!</f>
        <v>#REF!</v>
      </c>
      <c r="G9" s="341"/>
      <c r="H9" s="162"/>
      <c r="J9" s="185" t="str">
        <f>东亚瑞晶苑!J9</f>
        <v>不含物业费和供暖费</v>
      </c>
      <c r="L9" s="183">
        <f>L6-N7-N8-N6</f>
        <v>44.27</v>
      </c>
    </row>
    <row r="10" spans="1:14" ht="15" customHeight="1">
      <c r="A10" s="336" t="s">
        <v>903</v>
      </c>
      <c r="B10" s="90">
        <v>44743</v>
      </c>
      <c r="C10" s="95">
        <v>1</v>
      </c>
      <c r="D10" s="139">
        <f>中指数据!G49</f>
        <v>50.34</v>
      </c>
      <c r="E10" s="338">
        <v>4</v>
      </c>
      <c r="F10" s="195"/>
      <c r="G10" s="341">
        <f t="shared" ref="G10" si="1">ROUND(AVERAGE(D10:D12),2)</f>
        <v>50.15</v>
      </c>
      <c r="H10" s="162"/>
    </row>
    <row r="11" spans="1:14">
      <c r="A11" s="336"/>
      <c r="B11" s="90">
        <v>44774</v>
      </c>
      <c r="C11" s="95">
        <v>1</v>
      </c>
      <c r="D11" s="139">
        <f>中指数据!F49</f>
        <v>49.95</v>
      </c>
      <c r="E11" s="338"/>
      <c r="F11" s="195"/>
      <c r="G11" s="341"/>
      <c r="H11" s="162"/>
    </row>
    <row r="12" spans="1:14">
      <c r="A12" s="336"/>
      <c r="B12" s="90">
        <v>44805</v>
      </c>
      <c r="C12" s="95">
        <v>2</v>
      </c>
      <c r="D12" s="139" t="str">
        <f>中指数据!E49</f>
        <v>--</v>
      </c>
      <c r="E12" s="338"/>
      <c r="F12" s="194" t="e">
        <f>G8-#REF!-#REF!</f>
        <v>#REF!</v>
      </c>
      <c r="G12" s="341"/>
      <c r="H12" s="162"/>
    </row>
    <row r="13" spans="1:14" ht="15" customHeight="1">
      <c r="A13" s="336" t="s">
        <v>952</v>
      </c>
      <c r="B13" s="90">
        <v>44835</v>
      </c>
      <c r="C13" s="95">
        <v>3</v>
      </c>
      <c r="D13" s="139" t="str">
        <f>中指数据!D49</f>
        <v>--</v>
      </c>
      <c r="E13" s="338">
        <v>3</v>
      </c>
      <c r="F13" s="195"/>
      <c r="G13" s="341">
        <f t="shared" ref="G13" si="2">ROUND(AVERAGE(D13:D15),2)</f>
        <v>47.13</v>
      </c>
      <c r="H13" s="162"/>
    </row>
    <row r="14" spans="1:14">
      <c r="A14" s="336"/>
      <c r="B14" s="90">
        <v>44866</v>
      </c>
      <c r="C14" s="95">
        <v>1</v>
      </c>
      <c r="D14" s="139">
        <f>中指数据!C49</f>
        <v>47.15</v>
      </c>
      <c r="E14" s="338"/>
      <c r="F14" s="195"/>
      <c r="G14" s="341"/>
      <c r="H14" s="162"/>
    </row>
    <row r="15" spans="1:14">
      <c r="A15" s="336"/>
      <c r="B15" s="90">
        <v>44896</v>
      </c>
      <c r="C15" s="95">
        <v>0</v>
      </c>
      <c r="D15" s="76">
        <f>中指数据!B49</f>
        <v>47.1</v>
      </c>
      <c r="E15" s="338"/>
      <c r="F15" s="239" t="e">
        <f>D15-#REF!-#REF!</f>
        <v>#REF!</v>
      </c>
      <c r="G15" s="341"/>
      <c r="H15" s="162"/>
    </row>
    <row r="16" spans="1:14">
      <c r="A16" s="359" t="s">
        <v>142</v>
      </c>
      <c r="B16" s="360"/>
      <c r="C16" s="360"/>
      <c r="D16" s="360"/>
      <c r="E16" s="360"/>
      <c r="F16" s="82" t="e">
        <f>ROUND(AVERAGE(F4:F15),2)</f>
        <v>#REF!</v>
      </c>
      <c r="G16" s="156">
        <f>ROUND(AVERAGE(G4:G15),2)</f>
        <v>48.8</v>
      </c>
      <c r="H16" s="165"/>
    </row>
    <row r="18" spans="1:10" hidden="1">
      <c r="B18" s="361" t="s">
        <v>68</v>
      </c>
      <c r="C18" s="362"/>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36" t="s">
        <v>870</v>
      </c>
      <c r="B20" s="90">
        <v>44470</v>
      </c>
      <c r="C20" s="95"/>
      <c r="D20" s="139"/>
      <c r="E20" s="354"/>
      <c r="F20" s="196"/>
      <c r="G20" s="341"/>
      <c r="H20" s="160"/>
    </row>
    <row r="21" spans="1:10" hidden="1">
      <c r="A21" s="336"/>
      <c r="B21" s="90">
        <v>44501</v>
      </c>
      <c r="C21" s="95"/>
      <c r="D21" s="139"/>
      <c r="E21" s="354"/>
      <c r="F21" s="196"/>
      <c r="G21" s="341"/>
      <c r="H21" s="160"/>
    </row>
    <row r="22" spans="1:10" hidden="1">
      <c r="A22" s="336"/>
      <c r="B22" s="90">
        <v>44531</v>
      </c>
      <c r="C22" s="95"/>
      <c r="D22" s="139"/>
      <c r="E22" s="354"/>
      <c r="F22" s="196"/>
      <c r="G22" s="341"/>
      <c r="H22" s="160"/>
    </row>
    <row r="23" spans="1:10" ht="15" hidden="1" customHeight="1">
      <c r="A23" s="336" t="s">
        <v>869</v>
      </c>
      <c r="B23" s="90">
        <v>44562</v>
      </c>
      <c r="C23" s="95"/>
      <c r="D23" s="139"/>
      <c r="E23" s="354"/>
      <c r="F23" s="196"/>
      <c r="G23" s="341"/>
      <c r="H23" s="160"/>
    </row>
    <row r="24" spans="1:10" hidden="1">
      <c r="A24" s="336"/>
      <c r="B24" s="90">
        <v>44593</v>
      </c>
      <c r="C24" s="95"/>
      <c r="D24" s="139"/>
      <c r="E24" s="354"/>
      <c r="F24" s="196"/>
      <c r="G24" s="341"/>
      <c r="H24" s="160"/>
    </row>
    <row r="25" spans="1:10" hidden="1">
      <c r="A25" s="336"/>
      <c r="B25" s="90">
        <v>44621</v>
      </c>
      <c r="C25" s="95"/>
      <c r="D25" s="139"/>
      <c r="E25" s="354"/>
      <c r="F25" s="196"/>
      <c r="G25" s="341"/>
      <c r="H25" s="160"/>
    </row>
    <row r="26" spans="1:10" ht="15" hidden="1" customHeight="1">
      <c r="A26" s="336" t="s">
        <v>902</v>
      </c>
      <c r="B26" s="90">
        <v>44652</v>
      </c>
      <c r="C26" s="95"/>
      <c r="D26" s="139"/>
      <c r="E26" s="354"/>
      <c r="F26" s="196"/>
      <c r="G26" s="341"/>
      <c r="H26" s="160"/>
    </row>
    <row r="27" spans="1:10" hidden="1">
      <c r="A27" s="336"/>
      <c r="B27" s="90">
        <v>44682</v>
      </c>
      <c r="C27" s="95"/>
      <c r="D27" s="139"/>
      <c r="E27" s="354"/>
      <c r="F27" s="196"/>
      <c r="G27" s="341"/>
      <c r="H27" s="160"/>
      <c r="J27" s="78">
        <f>J8/J6</f>
        <v>1.062704918032787</v>
      </c>
    </row>
    <row r="28" spans="1:10" hidden="1">
      <c r="A28" s="336"/>
      <c r="B28" s="90">
        <v>44713</v>
      </c>
      <c r="C28" s="95"/>
      <c r="D28" s="139"/>
      <c r="E28" s="354"/>
      <c r="F28" s="196"/>
      <c r="G28" s="341"/>
      <c r="H28" s="160"/>
      <c r="J28" s="78">
        <f>1-J27</f>
        <v>-6.2704918032786994E-2</v>
      </c>
    </row>
    <row r="29" spans="1:10" ht="15" hidden="1" customHeight="1">
      <c r="A29" s="336" t="s">
        <v>903</v>
      </c>
      <c r="B29" s="90">
        <v>44743</v>
      </c>
      <c r="C29" s="95"/>
      <c r="D29" s="139"/>
      <c r="E29" s="363"/>
      <c r="F29" s="196"/>
      <c r="G29" s="341"/>
      <c r="H29" s="160"/>
    </row>
    <row r="30" spans="1:10" hidden="1">
      <c r="A30" s="336"/>
      <c r="B30" s="90">
        <v>44774</v>
      </c>
      <c r="C30" s="95"/>
      <c r="D30" s="139"/>
      <c r="E30" s="363"/>
      <c r="F30" s="196"/>
      <c r="G30" s="341"/>
      <c r="H30" s="160"/>
    </row>
    <row r="31" spans="1:10" hidden="1">
      <c r="A31" s="336"/>
      <c r="B31" s="90">
        <v>44805</v>
      </c>
      <c r="C31" s="95"/>
      <c r="D31" s="139"/>
      <c r="E31" s="363"/>
      <c r="F31" s="190"/>
      <c r="G31" s="341"/>
      <c r="H31" s="160"/>
    </row>
    <row r="32" spans="1:10" hidden="1">
      <c r="A32" s="354" t="str">
        <f>A16</f>
        <v>平均月租金（元/平方米/月）</v>
      </c>
      <c r="B32" s="354"/>
      <c r="C32" s="354"/>
      <c r="D32" s="354"/>
      <c r="E32" s="354"/>
      <c r="F32" s="82" t="e">
        <f>ROUND(AVERAGE(F20:F31),2)</f>
        <v>#DIV/0!</v>
      </c>
      <c r="G32" s="156" t="e">
        <f>ROUND(AVERAGE(G20:G31),2)</f>
        <v>#DIV/0!</v>
      </c>
      <c r="H32" s="165"/>
    </row>
    <row r="33" spans="1:9">
      <c r="A33" s="76"/>
      <c r="B33" s="76"/>
      <c r="C33" s="76"/>
      <c r="E33" s="76"/>
      <c r="F33" s="161"/>
      <c r="G33" s="161"/>
    </row>
    <row r="34" spans="1:9">
      <c r="A34" s="76"/>
      <c r="B34" s="357" t="s">
        <v>71</v>
      </c>
      <c r="C34" s="357"/>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36" t="s">
        <v>988</v>
      </c>
      <c r="B36" s="90">
        <v>44562</v>
      </c>
      <c r="C36" s="76">
        <f>市场数据!P14</f>
        <v>0</v>
      </c>
      <c r="D36" s="209">
        <f>市场数据!M26</f>
        <v>56.67</v>
      </c>
      <c r="E36" s="338">
        <v>6</v>
      </c>
      <c r="F36" s="239" t="e">
        <f>G36-#REF!-#REF!</f>
        <v>#REF!</v>
      </c>
      <c r="G36" s="341">
        <f>ROUND(AVERAGE(D36:D38),2)</f>
        <v>56.39</v>
      </c>
      <c r="H36" s="343"/>
    </row>
    <row r="37" spans="1:9">
      <c r="A37" s="336"/>
      <c r="B37" s="90">
        <v>44593</v>
      </c>
      <c r="C37" s="76" t="e">
        <f>市场数据!#REF!</f>
        <v>#REF!</v>
      </c>
      <c r="D37" s="209">
        <f>市场数据!M25</f>
        <v>56.36</v>
      </c>
      <c r="E37" s="338"/>
      <c r="F37" s="240"/>
      <c r="G37" s="341"/>
      <c r="H37" s="358"/>
      <c r="I37" s="176"/>
    </row>
    <row r="38" spans="1:9">
      <c r="A38" s="336"/>
      <c r="B38" s="90">
        <v>44621</v>
      </c>
      <c r="C38" s="76">
        <f>市场数据!P15</f>
        <v>0</v>
      </c>
      <c r="D38" s="82">
        <f>市场数据!M24</f>
        <v>56.14</v>
      </c>
      <c r="E38" s="338"/>
      <c r="F38" s="239" t="e">
        <f>G38-#REF!-#REF!</f>
        <v>#REF!</v>
      </c>
      <c r="G38" s="341"/>
      <c r="H38" s="343"/>
    </row>
    <row r="39" spans="1:9" ht="15" customHeight="1">
      <c r="A39" s="336" t="s">
        <v>902</v>
      </c>
      <c r="B39" s="90">
        <v>44652</v>
      </c>
      <c r="C39" s="76">
        <f>市场数据!P16</f>
        <v>0</v>
      </c>
      <c r="D39" s="209">
        <f>市场数据!M23</f>
        <v>53.33</v>
      </c>
      <c r="E39" s="338">
        <v>5</v>
      </c>
      <c r="F39" s="240"/>
      <c r="G39" s="341">
        <f t="shared" ref="G39" si="3">ROUND(AVERAGE(D39:D41),2)</f>
        <v>53.66</v>
      </c>
      <c r="H39" s="358"/>
    </row>
    <row r="40" spans="1:9">
      <c r="A40" s="336"/>
      <c r="B40" s="90">
        <v>44682</v>
      </c>
      <c r="C40" s="76">
        <f>市场数据!P17</f>
        <v>0</v>
      </c>
      <c r="D40" s="82">
        <f>市场数据!M21</f>
        <v>56.02</v>
      </c>
      <c r="E40" s="338"/>
      <c r="F40" s="195"/>
      <c r="G40" s="341"/>
      <c r="H40" s="358"/>
    </row>
    <row r="41" spans="1:9">
      <c r="A41" s="336"/>
      <c r="B41" s="90">
        <v>44713</v>
      </c>
      <c r="C41" s="76">
        <f>市场数据!P18</f>
        <v>0</v>
      </c>
      <c r="D41" s="209">
        <f>市场数据!M19</f>
        <v>51.62</v>
      </c>
      <c r="E41" s="338"/>
      <c r="F41" s="194" t="e">
        <f>G37-#REF!-#REF!</f>
        <v>#REF!</v>
      </c>
      <c r="G41" s="341"/>
      <c r="H41" s="343"/>
    </row>
    <row r="42" spans="1:9" ht="15" customHeight="1">
      <c r="A42" s="336" t="s">
        <v>903</v>
      </c>
      <c r="B42" s="90">
        <v>44743</v>
      </c>
      <c r="C42" s="76">
        <f>市场数据!P19</f>
        <v>0</v>
      </c>
      <c r="D42" s="242" t="s">
        <v>203</v>
      </c>
      <c r="E42" s="338">
        <v>2</v>
      </c>
      <c r="F42" s="195"/>
      <c r="G42" s="341">
        <f t="shared" ref="G42" si="4">ROUND(AVERAGE(D42:D44),2)</f>
        <v>48.12</v>
      </c>
      <c r="H42" s="358"/>
    </row>
    <row r="43" spans="1:9">
      <c r="A43" s="336"/>
      <c r="B43" s="90">
        <v>44774</v>
      </c>
      <c r="C43" s="76">
        <f>市场数据!P20</f>
        <v>0</v>
      </c>
      <c r="D43" s="226">
        <f>市场数据!M17</f>
        <v>48.12</v>
      </c>
      <c r="E43" s="338"/>
      <c r="F43" s="195"/>
      <c r="G43" s="341"/>
      <c r="H43" s="358"/>
    </row>
    <row r="44" spans="1:9">
      <c r="A44" s="336"/>
      <c r="B44" s="90">
        <v>44805</v>
      </c>
      <c r="C44" s="76">
        <f>市场数据!P21</f>
        <v>0</v>
      </c>
      <c r="D44" s="242" t="s">
        <v>203</v>
      </c>
      <c r="E44" s="338"/>
      <c r="F44" s="194" t="e">
        <f>G40-#REF!-#REF!</f>
        <v>#REF!</v>
      </c>
      <c r="G44" s="341"/>
      <c r="H44" s="343"/>
    </row>
    <row r="45" spans="1:9" ht="15" customHeight="1">
      <c r="A45" s="336" t="s">
        <v>952</v>
      </c>
      <c r="B45" s="90">
        <v>44835</v>
      </c>
      <c r="C45" s="76">
        <f>市场数据!P22</f>
        <v>0</v>
      </c>
      <c r="D45" s="209">
        <f>市场数据!M16</f>
        <v>54.17</v>
      </c>
      <c r="E45" s="338">
        <v>3</v>
      </c>
      <c r="F45" s="195"/>
      <c r="G45" s="341">
        <f t="shared" ref="G45" si="5">ROUND(AVERAGE(D45:D47),2)</f>
        <v>49.27</v>
      </c>
      <c r="H45" s="358"/>
    </row>
    <row r="46" spans="1:9">
      <c r="A46" s="336"/>
      <c r="B46" s="90">
        <v>44866</v>
      </c>
      <c r="C46" s="76">
        <f>市场数据!P23</f>
        <v>0</v>
      </c>
      <c r="D46" s="82">
        <f>市场数据!M14</f>
        <v>44.36</v>
      </c>
      <c r="E46" s="338"/>
      <c r="F46" s="195"/>
      <c r="G46" s="341"/>
      <c r="H46" s="358"/>
    </row>
    <row r="47" spans="1:9">
      <c r="A47" s="336"/>
      <c r="B47" s="90">
        <v>44896</v>
      </c>
      <c r="C47" s="76">
        <f>市场数据!P24</f>
        <v>0</v>
      </c>
      <c r="D47" s="242" t="s">
        <v>203</v>
      </c>
      <c r="E47" s="338"/>
      <c r="F47" s="239" t="e">
        <f>D47-#REF!-#REF!</f>
        <v>#VALUE!</v>
      </c>
      <c r="G47" s="341"/>
      <c r="H47" s="165"/>
    </row>
    <row r="48" spans="1:9">
      <c r="A48" s="354" t="str">
        <f>A16</f>
        <v>平均月租金（元/平方米/月）</v>
      </c>
      <c r="B48" s="354"/>
      <c r="C48" s="354"/>
      <c r="D48" s="354"/>
      <c r="E48" s="354"/>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4"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4"/>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2023-07-25T01:24:18Z</dcterms:modified>
</cp:coreProperties>
</file>