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82" l="1"/>
  <c r="C29" i="82" l="1"/>
  <c r="E29" i="82" s="1"/>
  <c r="C28" i="82"/>
  <c r="H39" i="82"/>
  <c r="H41" i="82" s="1"/>
  <c r="E32" i="82"/>
  <c r="D32" i="82"/>
  <c r="E28" i="82"/>
  <c r="C27" i="82"/>
  <c r="C30" i="82" s="1"/>
  <c r="E30" i="82" s="1"/>
  <c r="E27" i="82" l="1"/>
  <c r="C31" i="82"/>
  <c r="E31" i="82" s="1"/>
  <c r="C33" i="82"/>
  <c r="E33" i="82" l="1"/>
  <c r="G33" i="82"/>
  <c r="D27" i="82"/>
  <c r="D33" i="82" l="1"/>
  <c r="D34" i="82"/>
  <c r="K14" i="35" l="1"/>
  <c r="AM8" i="1"/>
  <c r="K20" i="35"/>
  <c r="K16" i="35"/>
  <c r="B20" i="82" l="1"/>
  <c r="A3" i="3" s="1"/>
  <c r="B18" i="82"/>
  <c r="I13" i="3"/>
  <c r="K13" i="3"/>
  <c r="M13" i="3"/>
  <c r="F655" i="89"/>
  <c r="F656" i="89" s="1"/>
  <c r="E397" i="89"/>
  <c r="E398" i="89" s="1"/>
  <c r="E399" i="89" s="1"/>
  <c r="E400" i="89" s="1"/>
  <c r="E401" i="89" s="1"/>
  <c r="E402" i="89" s="1"/>
  <c r="E403" i="89" s="1"/>
  <c r="E404" i="89" s="1"/>
  <c r="E405" i="89" s="1"/>
  <c r="E406" i="89" s="1"/>
  <c r="E407" i="89" s="1"/>
  <c r="E408" i="89" s="1"/>
  <c r="E409" i="89" s="1"/>
  <c r="E410" i="89" s="1"/>
  <c r="E411" i="89" s="1"/>
  <c r="E412" i="89" s="1"/>
  <c r="E413" i="89" s="1"/>
  <c r="E414" i="89" s="1"/>
  <c r="E415" i="89" s="1"/>
  <c r="E416" i="89" s="1"/>
  <c r="E417" i="89" s="1"/>
  <c r="E418" i="89" s="1"/>
  <c r="E396" i="89"/>
  <c r="E383" i="89"/>
  <c r="E384" i="89" s="1"/>
  <c r="E385" i="89" s="1"/>
  <c r="E386" i="89" s="1"/>
  <c r="E387" i="89" s="1"/>
  <c r="E382" i="89"/>
  <c r="F377" i="89"/>
  <c r="F164" i="89"/>
  <c r="E419" i="89" l="1"/>
  <c r="E421" i="89" s="1"/>
  <c r="E423" i="89" s="1"/>
  <c r="E425" i="89" s="1"/>
  <c r="E420" i="89"/>
  <c r="E422" i="89" s="1"/>
  <c r="E424" i="89" s="1"/>
  <c r="E426" i="89" s="1"/>
  <c r="E427" i="89" l="1"/>
  <c r="E429" i="89" s="1"/>
  <c r="E431" i="89" s="1"/>
  <c r="E433" i="89" s="1"/>
  <c r="E435" i="89" s="1"/>
  <c r="E428" i="89"/>
  <c r="E430" i="89" s="1"/>
  <c r="E432" i="89" s="1"/>
  <c r="E434" i="89" s="1"/>
  <c r="E436" i="89" s="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G21" i="6"/>
  <c r="G20" i="6"/>
  <c r="E38" i="39"/>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F31" i="12"/>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E80" i="39"/>
  <c r="F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J38" i="39"/>
  <c r="AC38" i="39" s="1"/>
  <c r="H38" i="39"/>
  <c r="AB38" i="39" s="1"/>
  <c r="F38" i="39"/>
  <c r="AA38" i="39" s="1"/>
  <c r="C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F48" i="69"/>
  <c r="G41" i="69"/>
  <c r="F40" i="69"/>
  <c r="C40" i="69"/>
  <c r="F39" i="69"/>
  <c r="F38" i="69"/>
  <c r="E37" i="69"/>
  <c r="F36" i="69"/>
  <c r="F35" i="69"/>
  <c r="F30" i="69"/>
  <c r="G22" i="69"/>
  <c r="F21" i="69"/>
  <c r="C21" i="69"/>
  <c r="F20" i="69"/>
  <c r="E19" i="69"/>
  <c r="E10" i="69"/>
  <c r="E9" i="69"/>
  <c r="F7" i="69"/>
  <c r="C7" i="69"/>
  <c r="H1" i="69"/>
  <c r="F48" i="68"/>
  <c r="G41" i="68"/>
  <c r="F40" i="68"/>
  <c r="C40" i="68"/>
  <c r="F39" i="68"/>
  <c r="F38" i="68"/>
  <c r="E37" i="68"/>
  <c r="F36" i="68"/>
  <c r="F35" i="68"/>
  <c r="F30" i="68"/>
  <c r="G22" i="68"/>
  <c r="F21" i="68"/>
  <c r="C21" i="68"/>
  <c r="F20" i="68"/>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D93" i="9"/>
  <c r="C91" i="9"/>
  <c r="E90" i="9"/>
  <c r="D89" i="9"/>
  <c r="C89" i="9"/>
  <c r="C87" i="9"/>
  <c r="D78"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C42" i="1"/>
  <c r="B41" i="1"/>
  <c r="B31" i="1"/>
  <c r="B22" i="1"/>
  <c r="N14" i="1"/>
  <c r="AP13" i="1"/>
  <c r="AG13" i="1"/>
  <c r="AE13" i="1"/>
  <c r="S13" i="1"/>
  <c r="AR13" i="1" s="1"/>
  <c r="R13" i="1"/>
  <c r="K13" i="1"/>
  <c r="M13" i="1" s="1"/>
  <c r="F13" i="1"/>
  <c r="G13" i="1" s="1"/>
  <c r="E13" i="1"/>
  <c r="D13" i="1"/>
  <c r="B13" i="1"/>
  <c r="A13" i="1"/>
  <c r="AP12" i="1"/>
  <c r="AG12" i="1"/>
  <c r="AE12" i="1"/>
  <c r="S12" i="1"/>
  <c r="AQ12" i="1" s="1"/>
  <c r="R12" i="1"/>
  <c r="K12" i="1"/>
  <c r="M12" i="1" s="1"/>
  <c r="O12" i="1" s="1"/>
  <c r="F12" i="1"/>
  <c r="G12" i="1" s="1"/>
  <c r="E12" i="1"/>
  <c r="D12" i="1"/>
  <c r="B12" i="1"/>
  <c r="A12" i="1"/>
  <c r="AP11" i="1"/>
  <c r="AG11" i="1"/>
  <c r="AE11" i="1"/>
  <c r="S11" i="1"/>
  <c r="AR11" i="1" s="1"/>
  <c r="R11" i="1"/>
  <c r="K11" i="1"/>
  <c r="M11" i="1" s="1"/>
  <c r="F11" i="1"/>
  <c r="G11" i="1" s="1"/>
  <c r="E11" i="1"/>
  <c r="D11" i="1"/>
  <c r="B11" i="1"/>
  <c r="A11" i="1"/>
  <c r="AP10" i="1"/>
  <c r="AG10" i="1"/>
  <c r="AE10" i="1"/>
  <c r="S10" i="1"/>
  <c r="AQ10" i="1" s="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B12" i="76"/>
  <c r="D2" i="21"/>
  <c r="D2" i="34"/>
  <c r="B13" i="76"/>
  <c r="D2" i="36"/>
  <c r="E13" i="76"/>
  <c r="E9" i="76"/>
  <c r="E2" i="69"/>
  <c r="AO12" i="1"/>
  <c r="E7" i="76"/>
  <c r="AO13" i="1"/>
  <c r="E10" i="76"/>
  <c r="B11" i="76"/>
  <c r="E8" i="76"/>
  <c r="D2" i="37"/>
  <c r="E11" i="76"/>
  <c r="F4" i="73"/>
  <c r="F3" i="73"/>
  <c r="B10" i="76"/>
  <c r="B8" i="76"/>
  <c r="D2" i="35"/>
  <c r="D2" i="33"/>
  <c r="B9" i="76"/>
  <c r="AO7" i="1"/>
  <c r="F7" i="73"/>
  <c r="F5" i="73"/>
  <c r="AO11" i="1"/>
  <c r="F6" i="73"/>
  <c r="E12" i="76"/>
  <c r="E2" i="68"/>
  <c r="F20" i="31"/>
  <c r="AO10" i="1"/>
  <c r="AO6" i="1"/>
  <c r="B7" i="76"/>
  <c r="A2" i="9" l="1"/>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W11"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U38" i="39"/>
  <c r="T46" i="39"/>
  <c r="W38" i="39"/>
  <c r="V46" i="39"/>
  <c r="E53" i="39"/>
  <c r="F53" i="39" s="1"/>
  <c r="S38" i="39"/>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I4" i="6" s="1"/>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8" i="15"/>
  <c r="M9" i="15"/>
  <c r="M26" i="67"/>
  <c r="M9" i="67"/>
  <c r="F9" i="67"/>
  <c r="M28" i="67"/>
  <c r="F13" i="15"/>
  <c r="F13" i="67"/>
  <c r="M27" i="67"/>
  <c r="F40" i="15"/>
  <c r="C76" i="15"/>
  <c r="D7" i="73"/>
  <c r="M28" i="15"/>
  <c r="M6" i="67"/>
  <c r="F37" i="67"/>
  <c r="L47" i="15"/>
  <c r="M26" i="15"/>
  <c r="M22" i="67"/>
  <c r="F36" i="67"/>
  <c r="F16" i="15"/>
  <c r="C76" i="67"/>
  <c r="F36" i="15"/>
  <c r="L48" i="67"/>
  <c r="F42" i="15"/>
  <c r="J15" i="67"/>
  <c r="L47" i="67"/>
  <c r="D3" i="73"/>
  <c r="J15" i="15"/>
  <c r="F37" i="15"/>
  <c r="M23" i="67"/>
  <c r="D6" i="73"/>
  <c r="F38" i="15"/>
  <c r="F16" i="67"/>
  <c r="M24" i="15"/>
  <c r="M6" i="15"/>
  <c r="F38" i="67"/>
  <c r="D4" i="73"/>
  <c r="F6" i="15"/>
  <c r="F40" i="67"/>
  <c r="M8" i="67"/>
  <c r="F42" i="67"/>
  <c r="F9" i="15"/>
  <c r="F8" i="67"/>
  <c r="M22" i="15"/>
  <c r="F6" i="67"/>
  <c r="M23" i="15"/>
  <c r="F26" i="67"/>
  <c r="M27" i="15"/>
  <c r="F8" i="15"/>
  <c r="D5" i="73"/>
  <c r="L48" i="15"/>
  <c r="F26" i="15"/>
  <c r="M24" i="67"/>
  <c r="AC26" i="35" l="1"/>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G27" i="6"/>
  <c r="G31" i="6" s="1"/>
  <c r="E21" i="6"/>
  <c r="K15" i="1"/>
  <c r="F7" i="12"/>
  <c r="K9" i="1"/>
  <c r="C38" i="9"/>
  <c r="H106" i="9" s="1"/>
  <c r="G13" i="3"/>
  <c r="H5" i="3"/>
  <c r="K14" i="1"/>
  <c r="M14" i="1" s="1"/>
  <c r="E30" i="6"/>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F7" i="67"/>
  <c r="M29" i="67"/>
  <c r="G1" i="73"/>
  <c r="F43" i="67"/>
  <c r="AC16" i="35" l="1"/>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43" i="15"/>
  <c r="C16" i="67"/>
  <c r="M29" i="15"/>
  <c r="F7" i="15"/>
  <c r="F22" i="11" l="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N36" i="43"/>
  <c r="C26" i="69"/>
  <c r="D22" i="69"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85" i="3"/>
  <c r="E581" i="3"/>
  <c r="E577" i="3"/>
  <c r="E573" i="3"/>
  <c r="E569" i="3"/>
  <c r="E587" i="3"/>
  <c r="E584" i="3"/>
  <c r="E583" i="3"/>
  <c r="E580" i="3"/>
  <c r="E579" i="3"/>
  <c r="E576" i="3"/>
  <c r="E575" i="3"/>
  <c r="E572" i="3"/>
  <c r="E571" i="3"/>
  <c r="E568" i="3"/>
  <c r="E567" i="3"/>
  <c r="E565" i="3"/>
  <c r="E557" i="3"/>
  <c r="E549" i="3"/>
  <c r="E541" i="3"/>
  <c r="E533" i="3"/>
  <c r="E525" i="3"/>
  <c r="E517" i="3"/>
  <c r="E509" i="3"/>
  <c r="E501" i="3"/>
  <c r="E493" i="3"/>
  <c r="E485" i="3"/>
  <c r="E477" i="3"/>
  <c r="E469" i="3"/>
  <c r="E461" i="3"/>
  <c r="E453" i="3"/>
  <c r="E445" i="3"/>
  <c r="E437" i="3"/>
  <c r="E429" i="3"/>
  <c r="E421" i="3"/>
  <c r="E413" i="3"/>
  <c r="E405" i="3"/>
  <c r="E397" i="3"/>
  <c r="E389" i="3"/>
  <c r="E381"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561" i="3"/>
  <c r="E553" i="3"/>
  <c r="E545" i="3"/>
  <c r="E537" i="3"/>
  <c r="E529" i="3"/>
  <c r="E521" i="3"/>
  <c r="E513" i="3"/>
  <c r="E505" i="3"/>
  <c r="E497" i="3"/>
  <c r="E489" i="3"/>
  <c r="E481" i="3"/>
  <c r="E473" i="3"/>
  <c r="E465" i="3"/>
  <c r="E457" i="3"/>
  <c r="E449" i="3"/>
  <c r="E441" i="3"/>
  <c r="E433" i="3"/>
  <c r="E425" i="3"/>
  <c r="E417" i="3"/>
  <c r="E409" i="3"/>
  <c r="E401" i="3"/>
  <c r="E393" i="3"/>
  <c r="E385"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60" i="3"/>
  <c r="E559" i="3"/>
  <c r="E552" i="3"/>
  <c r="E551" i="3"/>
  <c r="E544" i="3"/>
  <c r="E543" i="3"/>
  <c r="E536" i="3"/>
  <c r="E535" i="3"/>
  <c r="E528" i="3"/>
  <c r="E527" i="3"/>
  <c r="E520" i="3"/>
  <c r="E519" i="3"/>
  <c r="E512" i="3"/>
  <c r="E511" i="3"/>
  <c r="E504" i="3"/>
  <c r="E503" i="3"/>
  <c r="E496" i="3"/>
  <c r="E495" i="3"/>
  <c r="E488" i="3"/>
  <c r="E487" i="3"/>
  <c r="E480" i="3"/>
  <c r="E479" i="3"/>
  <c r="E472" i="3"/>
  <c r="E471" i="3"/>
  <c r="E464" i="3"/>
  <c r="E463" i="3"/>
  <c r="E456" i="3"/>
  <c r="E455" i="3"/>
  <c r="E448" i="3"/>
  <c r="E447" i="3"/>
  <c r="E440" i="3"/>
  <c r="E439" i="3"/>
  <c r="E432" i="3"/>
  <c r="E431" i="3"/>
  <c r="E424" i="3"/>
  <c r="E423" i="3"/>
  <c r="E416" i="3"/>
  <c r="E415" i="3"/>
  <c r="E408" i="3"/>
  <c r="E407" i="3"/>
  <c r="E400" i="3"/>
  <c r="E399" i="3"/>
  <c r="E392" i="3"/>
  <c r="E391" i="3"/>
  <c r="E384" i="3"/>
  <c r="E383" i="3"/>
  <c r="E376" i="3"/>
  <c r="E372" i="3"/>
  <c r="E368" i="3"/>
  <c r="E364" i="3"/>
  <c r="E360" i="3"/>
  <c r="E356" i="3"/>
  <c r="E352" i="3"/>
  <c r="E348" i="3"/>
  <c r="E344" i="3"/>
  <c r="E340" i="3"/>
  <c r="E336" i="3"/>
  <c r="E332" i="3"/>
  <c r="E328" i="3"/>
  <c r="E324" i="3"/>
  <c r="E320" i="3"/>
  <c r="E316" i="3"/>
  <c r="E253"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E308" i="3"/>
  <c r="E300" i="3"/>
  <c r="E292" i="3"/>
  <c r="E284" i="3"/>
  <c r="E276" i="3"/>
  <c r="E268" i="3"/>
  <c r="E260" i="3"/>
  <c r="E258"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Z6" i="3"/>
  <c r="V6" i="3"/>
  <c r="R6" i="3"/>
  <c r="N6" i="3"/>
  <c r="J6" i="3"/>
  <c r="AS6" i="3"/>
  <c r="AO6" i="3"/>
  <c r="AK6" i="3"/>
  <c r="AG6" i="3"/>
  <c r="Y6" i="3"/>
  <c r="U6" i="3"/>
  <c r="Q6" i="3"/>
  <c r="M6" i="3"/>
  <c r="I6" i="3"/>
  <c r="E257" i="3"/>
  <c r="E256"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312" i="3"/>
  <c r="E304" i="3"/>
  <c r="E296" i="3"/>
  <c r="E288" i="3"/>
  <c r="E280" i="3"/>
  <c r="E272" i="3"/>
  <c r="E264" i="3"/>
  <c r="E254"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B6" i="3"/>
  <c r="X6" i="3"/>
  <c r="T6" i="3"/>
  <c r="P6" i="3"/>
  <c r="L6" i="3"/>
  <c r="AD6" i="3"/>
  <c r="AJ6" i="3"/>
  <c r="AH6" i="3"/>
  <c r="AL6" i="3"/>
  <c r="K6" i="3"/>
  <c r="AF6" i="3"/>
  <c r="E58" i="40"/>
  <c r="E62" i="39"/>
  <c r="E59" i="40"/>
  <c r="E63" i="39"/>
  <c r="K16" i="1"/>
  <c r="G16" i="1"/>
  <c r="O36" i="43"/>
  <c r="D120" i="9"/>
  <c r="D8" i="53"/>
  <c r="E13" i="3"/>
  <c r="E56" i="40"/>
  <c r="E60" i="39"/>
  <c r="E60" i="40"/>
  <c r="E64" i="39"/>
  <c r="C34" i="69"/>
  <c r="M8" i="1"/>
  <c r="E3" i="6"/>
  <c r="AY6" i="3"/>
  <c r="E51" i="40"/>
  <c r="E16" i="6"/>
  <c r="E56" i="39"/>
  <c r="F27" i="6"/>
  <c r="F31" i="6" s="1"/>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M36" i="43" l="1"/>
  <c r="Q36" i="43"/>
  <c r="F41" i="69"/>
  <c r="L37" i="43"/>
  <c r="Q37" i="43" s="1"/>
  <c r="J19" i="15"/>
  <c r="C60" i="67"/>
  <c r="J18" i="15"/>
  <c r="F27" i="11"/>
  <c r="C47" i="11" s="1"/>
  <c r="D45" i="11" s="1"/>
  <c r="F27" i="68"/>
  <c r="F45" i="68" s="1"/>
  <c r="F28" i="12"/>
  <c r="C48" i="15"/>
  <c r="C33" i="15"/>
  <c r="C32" i="15"/>
  <c r="J24" i="15"/>
  <c r="M20" i="6"/>
  <c r="I20" i="6" s="1"/>
  <c r="S20" i="6" s="1"/>
  <c r="S7" i="1"/>
  <c r="J24" i="67"/>
  <c r="J26" i="67"/>
  <c r="H6" i="3"/>
  <c r="AC6" i="3"/>
  <c r="E6" i="3" s="1"/>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586" i="3"/>
  <c r="AY582" i="3"/>
  <c r="AY578" i="3"/>
  <c r="AY574" i="3"/>
  <c r="AY570" i="3"/>
  <c r="AY566" i="3"/>
  <c r="D3" i="6"/>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585" i="3"/>
  <c r="AY584" i="3"/>
  <c r="AY581" i="3"/>
  <c r="AY580" i="3"/>
  <c r="AY577" i="3"/>
  <c r="AY576" i="3"/>
  <c r="AY573" i="3"/>
  <c r="AY572" i="3"/>
  <c r="AY569" i="3"/>
  <c r="AY568"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3" i="3"/>
  <c r="AY369" i="3"/>
  <c r="AY365" i="3"/>
  <c r="AY361" i="3"/>
  <c r="AY357" i="3"/>
  <c r="AY353" i="3"/>
  <c r="AY349" i="3"/>
  <c r="AY345" i="3"/>
  <c r="AY341" i="3"/>
  <c r="AY337" i="3"/>
  <c r="AY333" i="3"/>
  <c r="AY329" i="3"/>
  <c r="AY325" i="3"/>
  <c r="AY321" i="3"/>
  <c r="AY317" i="3"/>
  <c r="AY255" i="3"/>
  <c r="AY254"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313" i="3"/>
  <c r="AY305" i="3"/>
  <c r="AY297" i="3"/>
  <c r="AY289" i="3"/>
  <c r="AY281" i="3"/>
  <c r="AY273" i="3"/>
  <c r="AY265" i="3"/>
  <c r="AY253"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BR6" i="3"/>
  <c r="BN6" i="3"/>
  <c r="BJ6" i="3"/>
  <c r="BF6" i="3"/>
  <c r="BB6" i="3"/>
  <c r="AY258"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09" i="3"/>
  <c r="AY301" i="3"/>
  <c r="AY293" i="3"/>
  <c r="AY285" i="3"/>
  <c r="AY277" i="3"/>
  <c r="AY269" i="3"/>
  <c r="AY261" i="3"/>
  <c r="AY257"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67"/>
  <c r="C14" i="67"/>
  <c r="C17" i="15"/>
  <c r="N37" i="43" l="1"/>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E61" i="40"/>
  <c r="L19" i="9"/>
  <c r="H26" i="6"/>
  <c r="D25" i="6"/>
  <c r="H24" i="6"/>
  <c r="D23" i="6"/>
  <c r="H22" i="6"/>
  <c r="D20" i="6"/>
  <c r="D14" i="6"/>
  <c r="D12" i="6"/>
  <c r="D10" i="6"/>
  <c r="D8" i="6"/>
  <c r="M19" i="9"/>
  <c r="C118" i="9" s="1"/>
  <c r="C14" i="74" s="1"/>
  <c r="B2" i="74" s="1"/>
  <c r="D29" i="6"/>
  <c r="D28" i="6"/>
  <c r="D26" i="6"/>
  <c r="H25" i="6"/>
  <c r="D24" i="6"/>
  <c r="H23" i="6"/>
  <c r="D21" i="6"/>
  <c r="H20" i="6"/>
  <c r="D13" i="6"/>
  <c r="D11" i="6"/>
  <c r="D6" i="6"/>
  <c r="D19" i="6"/>
  <c r="D9" i="6"/>
  <c r="D5" i="6"/>
  <c r="D22" i="6"/>
  <c r="H21" i="6"/>
  <c r="D15" i="6"/>
  <c r="C18" i="4"/>
  <c r="M27" i="6"/>
  <c r="I19" i="6"/>
  <c r="AC33" i="21"/>
  <c r="V48" i="21" s="1"/>
  <c r="I48" i="21" s="1"/>
  <c r="W33" i="21"/>
  <c r="N16" i="1"/>
  <c r="B21" i="1" s="1"/>
  <c r="L16" i="1"/>
  <c r="AC31" i="35"/>
  <c r="V38" i="35" s="1"/>
  <c r="I38" i="35" s="1"/>
  <c r="W31" i="35"/>
  <c r="E53" i="33"/>
  <c r="F53" i="33" s="1"/>
  <c r="E52" i="33"/>
  <c r="F52" i="33" s="1"/>
  <c r="I53" i="33"/>
  <c r="J53" i="33" s="1"/>
  <c r="I67" i="39"/>
  <c r="H69" i="39"/>
  <c r="G65" i="40"/>
  <c r="H63" i="40"/>
  <c r="C49" i="33"/>
  <c r="C48" i="33"/>
  <c r="C14" i="15"/>
  <c r="D30" i="6" l="1"/>
  <c r="C19" i="67"/>
  <c r="C20" i="67" s="1"/>
  <c r="C23" i="67" s="1"/>
  <c r="D16" i="6"/>
  <c r="R24" i="6"/>
  <c r="C28" i="11"/>
  <c r="C27" i="11" s="1"/>
  <c r="C18" i="15"/>
  <c r="C15" i="15"/>
  <c r="I42" i="35"/>
  <c r="J42" i="35" s="1"/>
  <c r="I52" i="21"/>
  <c r="J52" i="21" s="1"/>
  <c r="I27" i="6"/>
  <c r="S19" i="6"/>
  <c r="S27" i="6" s="1"/>
  <c r="D27" i="6"/>
  <c r="D31" i="6" s="1"/>
  <c r="D8" i="74"/>
  <c r="D7" i="74"/>
  <c r="R23" i="6"/>
  <c r="C12" i="12"/>
  <c r="C15" i="12"/>
  <c r="G52" i="21"/>
  <c r="H52" i="21" s="1"/>
  <c r="G53" i="21"/>
  <c r="H53" i="21" s="1"/>
  <c r="R49" i="21"/>
  <c r="E48" i="21"/>
  <c r="B24" i="1"/>
  <c r="B23" i="1"/>
  <c r="C44" i="11"/>
  <c r="D41" i="11" s="1"/>
  <c r="C44" i="68"/>
  <c r="D41" i="68" s="1"/>
  <c r="C24" i="68"/>
  <c r="C29" i="11"/>
  <c r="D27" i="11" s="1"/>
  <c r="C29" i="68"/>
  <c r="D27" i="68" s="1"/>
  <c r="R22" i="6"/>
  <c r="R9" i="1" s="1"/>
  <c r="R21" i="6"/>
  <c r="R8" i="1" s="1"/>
  <c r="R26" i="6"/>
  <c r="H19" i="6"/>
  <c r="H27" i="6" s="1"/>
  <c r="C10" i="68"/>
  <c r="D19" i="68"/>
  <c r="D37" i="68" s="1"/>
  <c r="C4" i="52"/>
  <c r="B45" i="72" s="1"/>
  <c r="A7" i="51"/>
  <c r="B7" i="72" s="1"/>
  <c r="A10" i="51"/>
  <c r="B9" i="72" s="1"/>
  <c r="R20" i="6"/>
  <c r="R7" i="1" s="1"/>
  <c r="R25" i="6"/>
  <c r="G43" i="35"/>
  <c r="H43" i="35" s="1"/>
  <c r="G42" i="35"/>
  <c r="H42" i="35" s="1"/>
  <c r="C24" i="11"/>
  <c r="C10" i="69"/>
  <c r="C8" i="69" s="1"/>
  <c r="C5" i="69" s="1"/>
  <c r="D19" i="69"/>
  <c r="R39" i="35"/>
  <c r="E38" i="35"/>
  <c r="T16" i="1"/>
  <c r="I69" i="39"/>
  <c r="J67" i="39"/>
  <c r="H65" i="40"/>
  <c r="I63" i="40"/>
  <c r="M21" i="15"/>
  <c r="F35" i="15"/>
  <c r="F35" i="67"/>
  <c r="M21" i="67"/>
  <c r="C26" i="67" l="1"/>
  <c r="F63" i="67"/>
  <c r="C62" i="67" s="1"/>
  <c r="C59" i="67" s="1"/>
  <c r="C34" i="67"/>
  <c r="C31" i="67" s="1"/>
  <c r="J20" i="67"/>
  <c r="J17" i="67" s="1"/>
  <c r="C29" i="67"/>
  <c r="J59" i="67" s="1"/>
  <c r="J60" i="67" s="1"/>
  <c r="Q48" i="67" s="1"/>
  <c r="C19" i="15"/>
  <c r="C20" i="15" s="1"/>
  <c r="C26" i="15" s="1"/>
  <c r="F63" i="15"/>
  <c r="C62" i="15" s="1"/>
  <c r="C59" i="15" s="1"/>
  <c r="C34" i="15"/>
  <c r="C31" i="15" s="1"/>
  <c r="J20" i="15"/>
  <c r="J17"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6" i="6"/>
  <c r="I5" i="6"/>
  <c r="I53" i="21"/>
  <c r="J53" i="21" s="1"/>
  <c r="C23" i="69"/>
  <c r="E42" i="35"/>
  <c r="F42" i="35" s="1"/>
  <c r="E43" i="35"/>
  <c r="F43" i="35" s="1"/>
  <c r="C49" i="21"/>
  <c r="C48" i="21"/>
  <c r="I43" i="35"/>
  <c r="J43" i="35" s="1"/>
  <c r="J69" i="39"/>
  <c r="K67" i="39"/>
  <c r="I65" i="40"/>
  <c r="J63" i="40"/>
  <c r="C36" i="67" l="1"/>
  <c r="C13" i="67"/>
  <c r="J14" i="67"/>
  <c r="Q49" i="67"/>
  <c r="C57" i="67"/>
  <c r="C64" i="67" s="1"/>
  <c r="C22" i="11"/>
  <c r="Q74" i="15"/>
  <c r="Q61" i="15"/>
  <c r="C6" i="12"/>
  <c r="R24" i="31"/>
  <c r="G3" i="43"/>
  <c r="B2" i="21"/>
  <c r="C8" i="12" s="1"/>
  <c r="B3" i="21"/>
  <c r="R6" i="1"/>
  <c r="R16" i="1" s="1"/>
  <c r="R27" i="6"/>
  <c r="C36" i="68"/>
  <c r="C34" i="68"/>
  <c r="C20" i="69"/>
  <c r="C24" i="69"/>
  <c r="C23" i="15"/>
  <c r="C29" i="15" s="1"/>
  <c r="C36" i="11"/>
  <c r="C34" i="11"/>
  <c r="C37" i="11"/>
  <c r="C39" i="69"/>
  <c r="C43" i="69" s="1"/>
  <c r="C42" i="69"/>
  <c r="M3" i="35"/>
  <c r="B2" i="35"/>
  <c r="E8" i="12" s="1"/>
  <c r="Q52" i="15"/>
  <c r="F1" i="15"/>
  <c r="C31" i="11"/>
  <c r="J65" i="40"/>
  <c r="K63" i="40"/>
  <c r="K69" i="39"/>
  <c r="L67" i="39"/>
  <c r="AE9" i="1"/>
  <c r="AE8" i="1"/>
  <c r="J22" i="67" l="1"/>
  <c r="J13" i="67"/>
  <c r="J23" i="67" s="1"/>
  <c r="C56" i="67"/>
  <c r="C65" i="67" s="1"/>
  <c r="C58" i="67" s="1"/>
  <c r="C67" i="67" s="1"/>
  <c r="C37" i="67"/>
  <c r="C30" i="67" s="1"/>
  <c r="C39" i="67" s="1"/>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F41" i="15"/>
  <c r="F41" i="67"/>
  <c r="L51" i="67"/>
  <c r="F69" i="67" l="1"/>
  <c r="J29" i="67"/>
  <c r="J29" i="15"/>
  <c r="F69" i="15"/>
  <c r="C68" i="67"/>
  <c r="C71" i="67" s="1"/>
  <c r="C80" i="67"/>
  <c r="C79" i="67" s="1"/>
  <c r="C33" i="11"/>
  <c r="C39" i="11" s="1"/>
  <c r="C43" i="11" s="1"/>
  <c r="Q67" i="67"/>
  <c r="L57" i="67"/>
  <c r="L60" i="67"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15"/>
  <c r="C68" i="15" l="1"/>
  <c r="C42" i="1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19" i="9"/>
  <c r="D20" i="9"/>
  <c r="D21" i="9" l="1"/>
  <c r="D102" i="9"/>
  <c r="B3" i="39"/>
  <c r="D103" i="9"/>
  <c r="C20" i="68"/>
  <c r="C25" i="68" s="1"/>
  <c r="C23" i="68"/>
  <c r="C28" i="68" l="1"/>
  <c r="C27" i="68" s="1"/>
  <c r="C22" i="68"/>
  <c r="C31" i="68" l="1"/>
  <c r="C52" i="68" s="1"/>
  <c r="C57" i="68" s="1"/>
  <c r="C56" i="68" s="1"/>
  <c r="B2" i="68" l="1"/>
  <c r="B3" i="68" s="1"/>
  <c r="D34" i="9"/>
  <c r="C20" i="9"/>
  <c r="D35" i="9"/>
  <c r="C19" i="9"/>
  <c r="G19" i="9" l="1"/>
  <c r="D22" i="9"/>
  <c r="C102" i="9"/>
  <c r="C21" i="9"/>
  <c r="C103" i="9"/>
  <c r="G20" i="9"/>
  <c r="G21" i="9"/>
  <c r="C32" i="9"/>
  <c r="H118" i="9" l="1"/>
  <c r="C35" i="9"/>
  <c r="F118" i="9" s="1"/>
  <c r="C34" i="9" l="1"/>
  <c r="D118" i="9" s="1"/>
  <c r="D119" i="9" s="1"/>
  <c r="D5" i="52" s="1"/>
  <c r="B49" i="72" s="1"/>
  <c r="F4" i="52"/>
  <c r="B51" i="72" s="1"/>
  <c r="F119" i="9"/>
  <c r="F5" i="52" s="1"/>
  <c r="B53" i="72" s="1"/>
  <c r="G118" i="9"/>
  <c r="G4" i="52" s="1"/>
  <c r="B52" i="72" s="1"/>
  <c r="H101" i="9"/>
  <c r="H119" i="9"/>
  <c r="H5" i="52" s="1"/>
  <c r="I118" i="9"/>
  <c r="D14" i="74"/>
  <c r="C104" i="9"/>
  <c r="H4" i="52"/>
  <c r="D4" i="52" l="1"/>
  <c r="B47" i="72" s="1"/>
  <c r="E14" i="74"/>
  <c r="B5" i="74"/>
  <c r="F14" i="74"/>
  <c r="I4" i="52"/>
  <c r="E118" i="9"/>
  <c r="E4" i="52" s="1"/>
  <c r="B48" i="72" s="1"/>
  <c r="C105" i="9"/>
  <c r="H102" i="9"/>
  <c r="D7" i="53" s="1"/>
  <c r="B21" i="72" s="1"/>
  <c r="D45" i="9"/>
  <c r="H107" i="9"/>
  <c r="D5" i="53"/>
  <c r="M48" i="9"/>
  <c r="D53" i="9" l="1"/>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<sst xmlns="http://schemas.openxmlformats.org/spreadsheetml/2006/main" count="11831" uniqueCount="3851">
  <si>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</si>
  <si>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</si>
  <si>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</si>
  <si>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</si>
  <si>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</si>
  <si>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</si>
  <si>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</si>
  <si>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</si>
  <si>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</si>
  <si>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</si>
  <si>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</si>
  <si>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</si>
  <si>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</si>
  <si>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</si>
  <si>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</si>
  <si>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</si>
  <si>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</si>
  <si>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</si>
  <si>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</si>
  <si>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</si>
  <si>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</si>
  <si>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</si>
  <si>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</si>
  <si>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</si>
  <si>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</si>
  <si>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</si>
  <si>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</si>
  <si>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</si>
  <si>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</si>
  <si>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</si>
  <si>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</si>
  <si>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</si>
  <si>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</si>
  <si>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</si>
  <si>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</si>
  <si>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</si>
  <si>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</si>
  <si>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</si>
  <si>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</si>
  <si>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</si>
  <si>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</si>
  <si>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</si>
  <si>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</si>
  <si>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</si>
  <si>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</si>
  <si>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</si>
  <si>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</si>
  <si>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</si>
  <si>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</si>
  <si>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</si>
  <si>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</si>
  <si>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</si>
  <si>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</si>
  <si>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</si>
  <si>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</si>
  <si>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</si>
  <si>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</si>
  <si>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</si>
  <si>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</si>
  <si>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</si>
  <si>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</si>
  <si>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</si>
  <si>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</si>
  <si>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</si>
  <si>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</si>
  <si>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</si>
  <si>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</si>
  <si>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</si>
  <si>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</si>
  <si>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</si>
  <si>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</si>
  <si>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</si>
  <si>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</si>
  <si>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</si>
  <si>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</si>
  <si>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</si>
  <si>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</si>
  <si>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</si>
  <si>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</si>
  <si>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</si>
  <si>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</si>
  <si>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</si>
  <si>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</si>
  <si>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</si>
  <si>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</si>
  <si>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</si>
  <si>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</si>
  <si>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</si>
  <si>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</si>
  <si>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</si>
  <si>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</si>
  <si>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</si>
  <si>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</si>
  <si>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</si>
  <si>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</si>
  <si>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</si>
  <si>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</si>
  <si>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</si>
  <si>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</si>
  <si>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</si>
  <si>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</si>
  <si>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</si>
  <si>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</si>
  <si>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</si>
  <si>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</si>
  <si>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</si>
  <si>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</si>
  <si>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</si>
  <si>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</si>
  <si>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</si>
  <si>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</si>
  <si>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</si>
  <si>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</si>
  <si>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</si>
  <si>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</si>
  <si>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</si>
  <si>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</si>
  <si>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</si>
  <si>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</si>
  <si>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</si>
  <si>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</si>
  <si>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</si>
  <si>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</si>
  <si>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</si>
  <si>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</si>
  <si>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</si>
  <si>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</si>
  <si>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</si>
  <si>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</si>
  <si>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</si>
  <si>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</si>
  <si>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</si>
  <si>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</si>
  <si>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</si>
  <si>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</si>
  <si>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</si>
  <si>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</si>
  <si>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</si>
  <si>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</si>
  <si>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</si>
  <si>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</si>
  <si>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</si>
  <si>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</si>
  <si>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</si>
  <si>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</si>
  <si>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</si>
  <si>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</si>
  <si>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</si>
  <si>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</si>
  <si>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</si>
  <si>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</si>
  <si>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</si>
  <si>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</si>
  <si>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</si>
  <si>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</si>
  <si>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</si>
  <si>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</si>
  <si>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</si>
  <si>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</si>
  <si>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</si>
  <si>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</si>
  <si>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</si>
  <si>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</si>
  <si>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</si>
  <si>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</si>
  <si>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</si>
  <si>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</si>
  <si>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</si>
  <si>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</si>
  <si>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</si>
  <si>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</si>
  <si>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</si>
  <si>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</si>
  <si>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</si>
  <si>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</si>
  <si>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</si>
  <si>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</si>
  <si>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</si>
  <si>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</si>
  <si>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</si>
  <si>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</si>
  <si>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</si>
  <si>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</si>
  <si>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</si>
  <si>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</si>
  <si>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</si>
  <si>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</si>
  <si>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</si>
  <si>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</si>
  <si>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</si>
  <si>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</si>
  <si>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</si>
  <si>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</si>
  <si>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</si>
  <si>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</si>
  <si>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</si>
  <si>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</si>
  <si>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</si>
  <si>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</si>
  <si>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</si>
  <si>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</si>
  <si>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</si>
  <si>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</si>
  <si>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</si>
  <si>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</si>
  <si>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</si>
  <si>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</si>
  <si>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</si>
  <si>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</si>
  <si>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</si>
  <si>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</si>
  <si>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</si>
  <si>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</si>
  <si>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</si>
  <si>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</si>
  <si>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</si>
  <si>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</si>
  <si>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</si>
  <si>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</si>
  <si>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</si>
  <si>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</si>
  <si>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</si>
  <si>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</si>
  <si>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</si>
  <si>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</si>
  <si>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</si>
  <si>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</si>
  <si>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</si>
  <si>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</si>
  <si>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</si>
  <si>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</si>
  <si>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</si>
  <si>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</si>
  <si>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</si>
  <si>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</si>
  <si>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</si>
  <si>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</si>
  <si>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</si>
  <si>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</si>
  <si>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</si>
  <si>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</si>
  <si>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</si>
  <si>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</si>
  <si>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</si>
  <si>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</si>
  <si>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</si>
  <si>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</si>
  <si>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</si>
  <si>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</si>
  <si>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</si>
  <si>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</si>
  <si>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</si>
  <si>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</si>
  <si>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</si>
  <si>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</si>
  <si>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</si>
  <si>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</si>
  <si>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</si>
  <si>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</si>
  <si>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</si>
  <si>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</si>
  <si>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</si>
  <si>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</si>
  <si>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</si>
  <si>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</si>
  <si>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</si>
  <si>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</si>
  <si>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</si>
  <si>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</si>
  <si>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</si>
  <si>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</si>
  <si>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</si>
  <si>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</si>
  <si>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</si>
  <si>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</si>
  <si>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</si>
  <si>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</si>
  <si>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</si>
  <si>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</si>
  <si>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</si>
  <si>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</si>
  <si>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</si>
  <si>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</si>
  <si>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</si>
  <si>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</si>
  <si>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</si>
  <si>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</si>
  <si>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</si>
  <si>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</si>
  <si>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</si>
  <si>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</si>
  <si>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</si>
  <si>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</si>
  <si>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</si>
  <si>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</si>
  <si>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</si>
  <si>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</si>
  <si>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</si>
  <si>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</si>
  <si>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</si>
  <si>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</si>
  <si>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</si>
  <si>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</si>
  <si>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</si>
  <si>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</si>
  <si>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</si>
  <si>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</si>
  <si>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</si>
  <si>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</si>
  <si>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</si>
  <si>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</si>
  <si>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</si>
  <si>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</si>
  <si>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</si>
  <si>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</si>
  <si>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</si>
  <si>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</si>
  <si>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</si>
  <si>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</si>
  <si>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</si>
  <si>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</si>
  <si>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</si>
  <si>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</si>
  <si>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</si>
  <si>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</si>
  <si>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</si>
  <si>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</si>
  <si>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</si>
  <si>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</si>
  <si>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</si>
  <si>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</si>
  <si>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</si>
  <si>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</si>
  <si>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</si>
  <si>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</si>
  <si>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</si>
  <si>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</si>
  <si>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</si>
  <si>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</si>
  <si>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</si>
  <si>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</si>
  <si>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</si>
  <si>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</si>
  <si>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</si>
  <si>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</si>
  <si>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</si>
  <si>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</si>
  <si>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</si>
  <si>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</si>
  <si>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</si>
  <si>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</si>
  <si>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</si>
  <si>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</si>
  <si>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</si>
  <si>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</si>
  <si>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</si>
  <si>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</si>
  <si>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</si>
  <si>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</si>
  <si>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</si>
  <si>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</si>
  <si>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</si>
  <si>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</si>
  <si>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</si>
  <si>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</si>
  <si>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</si>
  <si>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</si>
  <si>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</si>
  <si>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</si>
  <si>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</si>
  <si>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</si>
  <si>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</si>
  <si>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</si>
  <si>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</si>
  <si>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</si>
  <si>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</si>
  <si>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</si>
  <si>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</si>
  <si>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</si>
  <si>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</si>
  <si>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</si>
  <si>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</si>
  <si>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</si>
  <si>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</si>
  <si>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</si>
  <si>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</si>
  <si>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</si>
  <si>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</si>
  <si>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</si>
  <si>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</si>
  <si>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</si>
  <si>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</si>
  <si>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</si>
  <si>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</si>
  <si>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</si>
  <si>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</si>
  <si>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</si>
  <si>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</si>
  <si>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</si>
  <si>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</si>
  <si>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</si>
  <si>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</si>
  <si>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</si>
  <si>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</si>
  <si>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</si>
  <si>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</si>
  <si>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</si>
  <si>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</si>
  <si>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</si>
  <si>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</si>
  <si>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</si>
  <si>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</si>
  <si>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</si>
  <si>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</si>
  <si>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</si>
  <si>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</si>
  <si>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</si>
  <si>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</si>
  <si>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</si>
  <si>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</si>
  <si>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</si>
  <si>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</si>
  <si>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</si>
  <si>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</si>
  <si>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</si>
  <si>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</si>
  <si>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</si>
  <si>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</si>
  <si>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</si>
  <si>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</si>
  <si>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</si>
  <si>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</si>
  <si>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</si>
  <si>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</si>
  <si>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</si>
  <si>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</si>
  <si>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</si>
  <si>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</si>
  <si>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</si>
  <si>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</si>
  <si>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</si>
  <si>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</si>
  <si>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</si>
  <si>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</si>
  <si>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</si>
  <si>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</si>
  <si>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</si>
  <si>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</si>
  <si>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</si>
  <si>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</si>
  <si>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</si>
  <si>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</si>
  <si>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</si>
  <si>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</si>
  <si>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</si>
  <si>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</si>
  <si>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</si>
  <si>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</si>
  <si>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</si>
  <si>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</si>
  <si>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</si>
  <si>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</si>
  <si>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</si>
  <si>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</si>
  <si>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</si>
  <si>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</si>
  <si>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</si>
  <si>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</si>
  <si>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</si>
  <si>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</si>
  <si>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</si>
  <si>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</si>
  <si>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</si>
  <si>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</si>
  <si>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</si>
  <si>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</si>
  <si>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</si>
  <si>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</si>
  <si>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</si>
  <si>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</si>
  <si>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</si>
  <si>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</si>
  <si>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</si>
  <si>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</si>
  <si>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</si>
  <si>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</si>
  <si>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</si>
  <si>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</si>
  <si>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</si>
  <si>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</si>
  <si>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</si>
  <si>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</si>
  <si>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</si>
  <si>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</si>
  <si>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</si>
  <si>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</si>
  <si>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</si>
  <si>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</si>
  <si>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</si>
  <si>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</si>
  <si>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</si>
  <si>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</si>
  <si>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</si>
  <si>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</si>
  <si>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</si>
  <si>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</si>
  <si>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</si>
  <si>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</si>
  <si>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</si>
  <si>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</si>
  <si>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</si>
  <si>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</si>
  <si>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</si>
  <si>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</si>
  <si>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</si>
  <si>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</si>
  <si>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</si>
  <si>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</si>
  <si>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</si>
  <si>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</si>
  <si>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</si>
  <si>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</si>
  <si>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</si>
  <si>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</si>
  <si>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</si>
  <si>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</si>
  <si>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</si>
  <si>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</si>
  <si>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</si>
  <si>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</si>
  <si>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</si>
  <si>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</si>
  <si>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</si>
  <si>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</si>
  <si>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</si>
  <si>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</si>
  <si>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</si>
  <si>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</si>
  <si>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</si>
  <si>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</si>
  <si>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</si>
  <si>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</si>
  <si>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</si>
  <si>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</si>
  <si>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</si>
  <si>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</si>
  <si>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</si>
  <si>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</si>
  <si>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</si>
  <si>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</si>
  <si>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</si>
  <si>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</si>
  <si>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</si>
  <si>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</si>
  <si>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</si>
  <si>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</si>
  <si>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</si>
  <si>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</si>
  <si>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</si>
  <si>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</si>
  <si>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</si>
  <si>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</si>
  <si>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</si>
  <si>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</si>
  <si>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</si>
  <si>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</si>
  <si>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</si>
  <si>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</si>
  <si>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</si>
  <si>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</si>
  <si>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</si>
  <si>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</si>
  <si>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</si>
  <si>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</si>
  <si>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</si>
  <si>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</si>
  <si>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</si>
  <si>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</si>
  <si>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</si>
  <si>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</si>
  <si>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</si>
  <si>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</si>
  <si>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</si>
  <si>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</si>
  <si>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</si>
  <si>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</si>
  <si>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</si>
  <si>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</si>
  <si>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</si>
  <si>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</si>
  <si>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</si>
  <si>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</si>
  <si>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</si>
  <si>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</si>
  <si>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</si>
  <si>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</si>
  <si>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</si>
  <si>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</si>
  <si>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</si>
  <si>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</si>
  <si>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</si>
  <si>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</si>
  <si>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</si>
  <si>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</si>
  <si>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</si>
  <si>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</si>
  <si>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</si>
  <si>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</si>
  <si>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</si>
  <si>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</si>
  <si>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</si>
  <si>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</si>
  <si>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</si>
  <si>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</si>
  <si>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</si>
  <si>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</si>
  <si>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</si>
  <si>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</si>
  <si>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</si>
  <si>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</si>
  <si>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</si>
  <si>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</si>
  <si>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</si>
  <si>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</si>
  <si>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</si>
  <si>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</si>
  <si>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</si>
  <si>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</si>
  <si>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</si>
  <si>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</si>
  <si>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</si>
  <si>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</si>
  <si>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</si>
  <si>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</si>
  <si>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</si>
  <si>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</si>
  <si>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</si>
  <si>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</si>
  <si>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</si>
  <si>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</si>
  <si>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</si>
  <si>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</si>
  <si>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</si>
  <si>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</si>
  <si>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</si>
  <si>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</si>
  <si>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</si>
  <si>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</si>
  <si>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</si>
  <si>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</si>
  <si>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</si>
  <si>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</si>
  <si>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</si>
  <si>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</si>
  <si>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</si>
  <si>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</si>
  <si>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</si>
  <si>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</si>
  <si>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</si>
  <si>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</si>
  <si>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</si>
  <si>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</si>
  <si>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</si>
  <si>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</si>
  <si>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</si>
  <si>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</si>
  <si>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</si>
  <si>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</si>
  <si>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</si>
  <si>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</si>
  <si>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</si>
  <si>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</si>
  <si>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</si>
  <si>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</si>
  <si>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</si>
  <si>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</si>
  <si>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</si>
  <si>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</si>
  <si>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</si>
  <si>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</si>
  <si>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</si>
  <si>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</si>
  <si>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</si>
  <si>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</si>
  <si>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</si>
  <si>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</si>
  <si>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</si>
  <si>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</si>
  <si>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</si>
  <si>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</si>
  <si>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</si>
  <si>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</si>
  <si>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</si>
  <si>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</si>
  <si>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</si>
  <si>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</si>
  <si>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</si>
  <si>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</si>
  <si>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</si>
  <si>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</si>
  <si>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</si>
  <si>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</si>
  <si>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</si>
  <si>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</si>
  <si>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</si>
  <si>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</si>
  <si>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</si>
  <si>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</si>
  <si>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</si>
  <si>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</si>
  <si>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</si>
  <si>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</si>
  <si>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</si>
  <si>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</si>
  <si>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</si>
  <si>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</si>
  <si>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</si>
  <si>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</si>
  <si>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</si>
  <si>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</si>
  <si>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</si>
  <si>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</si>
  <si>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</si>
  <si>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</si>
  <si>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</si>
  <si>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</si>
  <si>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</si>
  <si>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</si>
  <si>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</si>
  <si>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</si>
  <si>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</si>
  <si>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</si>
  <si>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</si>
  <si>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</si>
  <si>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</si>
  <si>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</si>
  <si>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</si>
  <si>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</si>
  <si>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</si>
  <si>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</si>
  <si>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</si>
  <si>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</si>
  <si>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</si>
  <si>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</si>
  <si>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</si>
  <si>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</si>
  <si>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</si>
  <si>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</si>
  <si>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</si>
  <si>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</si>
  <si>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</si>
  <si>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</si>
  <si>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</si>
  <si>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</si>
  <si>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</si>
  <si>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</si>
  <si>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</si>
  <si>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</si>
  <si>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</si>
  <si>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</si>
  <si>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</si>
  <si>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</si>
  <si>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</si>
  <si>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</si>
  <si>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</si>
  <si>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</si>
  <si>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</si>
  <si>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</si>
  <si>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</si>
  <si>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</si>
  <si>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</si>
  <si>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</si>
  <si>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</si>
  <si>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</si>
  <si>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</si>
  <si>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</si>
  <si>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</si>
  <si>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</si>
  <si>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</si>
  <si>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</si>
  <si>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</si>
  <si>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</si>
  <si>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</si>
  <si>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</si>
  <si>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</si>
  <si>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</si>
  <si>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</si>
  <si>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</si>
  <si>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</si>
  <si>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</si>
  <si>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</si>
  <si>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</si>
  <si>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</si>
  <si>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</si>
  <si>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</si>
  <si>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</si>
  <si>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</si>
  <si>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</si>
  <si>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</si>
  <si>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</si>
  <si>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</si>
  <si>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</si>
  <si>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</si>
  <si>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</si>
  <si>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</si>
  <si>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</si>
  <si>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</si>
  <si>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</si>
  <si>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</si>
  <si>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</si>
  <si>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</si>
  <si>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</si>
  <si>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</si>
  <si>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</si>
  <si>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</si>
  <si>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</si>
  <si>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</si>
  <si>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</si>
  <si>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</si>
  <si>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</si>
  <si>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</si>
  <si>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</si>
  <si>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</si>
  <si>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</si>
  <si>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</si>
  <si>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</si>
  <si>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</si>
  <si>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</si>
  <si>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</si>
  <si>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</si>
  <si>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</si>
  <si>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</si>
  <si>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</si>
  <si>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</si>
  <si>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</si>
  <si>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</si>
  <si>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</si>
  <si>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</si>
  <si>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</si>
  <si>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</si>
  <si>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</si>
  <si>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</si>
  <si>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</si>
  <si>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</si>
  <si>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</si>
  <si>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</si>
  <si>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</si>
  <si>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</si>
  <si>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</si>
  <si>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</si>
  <si>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</si>
  <si>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</si>
  <si>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</si>
  <si>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</si>
  <si>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</si>
  <si>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</si>
  <si>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</si>
  <si>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</si>
  <si>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</si>
  <si>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</si>
  <si>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</si>
  <si>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</si>
  <si>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</si>
  <si>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</si>
  <si>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</si>
  <si>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</si>
  <si>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</si>
  <si>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</si>
  <si>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</si>
  <si>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</si>
  <si>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</si>
  <si>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</si>
  <si>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</si>
  <si>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</si>
  <si>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</si>
  <si>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</si>
  <si>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</si>
  <si>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</si>
  <si>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</si>
  <si>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</si>
  <si>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</si>
  <si>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</si>
  <si>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</si>
  <si>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</si>
  <si>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</si>
  <si>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</si>
  <si>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</si>
  <si>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</si>
  <si>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</si>
  <si>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</si>
  <si>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</si>
  <si>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</si>
  <si>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</si>
  <si>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</si>
  <si>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</si>
  <si>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</si>
  <si>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</si>
  <si>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</si>
  <si>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</si>
  <si>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</si>
  <si>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</si>
  <si>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</si>
  <si>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</si>
  <si>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</si>
  <si>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</si>
  <si>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</si>
  <si>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</si>
  <si>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</si>
  <si>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</si>
  <si>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</si>
  <si>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</si>
  <si>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</si>
  <si>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</si>
  <si>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</si>
  <si>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</si>
  <si>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</si>
  <si>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</si>
  <si>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</si>
  <si>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</si>
  <si>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</si>
  <si>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</si>
  <si>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</si>
  <si>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</si>
  <si>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</si>
  <si>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</si>
  <si>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</si>
  <si>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</si>
  <si>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</si>
  <si>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</si>
  <si>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</si>
  <si>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</si>
  <si>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</si>
  <si>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</si>
  <si>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</si>
  <si>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</si>
  <si>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</si>
  <si>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</si>
  <si>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</si>
  <si>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</si>
  <si>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</si>
  <si>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</si>
  <si>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</si>
  <si>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</si>
  <si>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</si>
  <si>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</si>
  <si>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</si>
  <si>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</si>
  <si>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</si>
  <si>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</si>
  <si>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</si>
  <si>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</si>
  <si>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</si>
  <si>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</si>
  <si>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</si>
  <si>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</si>
  <si>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</si>
  <si>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</si>
  <si>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</si>
  <si>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</si>
  <si>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</si>
  <si>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</si>
  <si>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</si>
  <si>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</si>
  <si>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</si>
  <si>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</si>
  <si>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</si>
  <si>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</si>
  <si>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</si>
  <si>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</si>
  <si>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</si>
  <si>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</si>
  <si>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</si>
  <si>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</si>
  <si>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</si>
  <si>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</si>
  <si>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</si>
  <si>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</si>
  <si>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</si>
  <si>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</si>
  <si>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</si>
  <si>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</si>
  <si>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</si>
  <si>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</si>
  <si>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</si>
  <si>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</si>
  <si>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</si>
  <si>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</si>
  <si>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</si>
  <si>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</si>
  <si>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</si>
  <si>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</si>
  <si>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</si>
  <si>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</si>
  <si>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</si>
  <si>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</si>
  <si>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</si>
  <si>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</si>
  <si>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</si>
  <si>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</si>
  <si>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</si>
  <si>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</si>
  <si>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</si>
  <si>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</si>
  <si>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</si>
  <si>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</si>
  <si>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</si>
  <si>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</si>
  <si>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</si>
  <si>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</si>
  <si>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</si>
  <si>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</si>
  <si>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</si>
  <si>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</si>
  <si>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</si>
  <si>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</si>
  <si>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</si>
  <si>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</si>
  <si>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</si>
  <si>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</si>
  <si>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</si>
  <si>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</si>
  <si>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</si>
  <si>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</si>
  <si>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</si>
  <si>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</si>
  <si>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</si>
  <si>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</si>
  <si>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</si>
  <si>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</si>
  <si>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</si>
  <si>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</si>
  <si>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</si>
  <si>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</si>
  <si>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</si>
  <si>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</si>
  <si>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</si>
  <si>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</si>
  <si>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</si>
  <si>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</si>
  <si>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</si>
  <si>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</si>
  <si>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</si>
  <si>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</si>
  <si>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</si>
  <si>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</si>
  <si>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</si>
  <si>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</si>
  <si>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</si>
  <si>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</si>
  <si>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</si>
  <si>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</si>
  <si>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</si>
  <si>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</si>
  <si>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</si>
  <si>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</si>
  <si>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</si>
  <si>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</si>
  <si>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</si>
  <si>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</si>
  <si>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</si>
  <si>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</si>
  <si>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</si>
  <si>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</si>
  <si>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</si>
  <si>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</si>
  <si>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</si>
  <si>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</si>
  <si>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</si>
  <si>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</si>
  <si>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</si>
  <si>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</si>
  <si>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</si>
  <si>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</si>
  <si>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</si>
  <si>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</si>
  <si>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</si>
  <si>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</si>
  <si>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</si>
  <si>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</si>
  <si>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</si>
  <si>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</si>
  <si>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</si>
  <si>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</si>
  <si>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</si>
  <si>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</si>
  <si>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</si>
  <si>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</si>
  <si>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</si>
  <si>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</si>
  <si>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</si>
  <si>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</si>
  <si>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</si>
  <si>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</si>
  <si>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</si>
  <si>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</si>
  <si>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</si>
  <si>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</si>
  <si>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</si>
  <si>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</si>
  <si>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</si>
  <si>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</si>
  <si>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</si>
  <si>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</si>
  <si>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</si>
  <si>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</si>
  <si>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</si>
  <si>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</si>
  <si>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</si>
  <si>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</si>
  <si>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</si>
  <si>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</si>
  <si>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</si>
  <si>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</si>
  <si>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</si>
  <si>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</si>
  <si>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</si>
  <si>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</si>
  <si>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</si>
  <si>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</si>
  <si>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</si>
  <si>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</si>
  <si>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</si>
  <si>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</si>
  <si>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</si>
  <si>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</si>
  <si>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</si>
  <si>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</si>
  <si>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</si>
  <si>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</si>
  <si>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</si>
  <si>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</si>
  <si>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</si>
  <si>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</si>
  <si>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</si>
  <si>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</si>
  <si>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</si>
  <si>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</si>
  <si>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</si>
  <si>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</si>
  <si>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</si>
  <si>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</si>
  <si>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</si>
  <si>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</si>
  <si>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</si>
  <si>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</si>
  <si>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</si>
  <si>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</si>
  <si>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</si>
  <si>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</si>
  <si>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</si>
  <si>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</si>
  <si>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</si>
  <si>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</si>
  <si>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</si>
  <si>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</si>
  <si>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</si>
  <si>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</si>
  <si>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</si>
  <si>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</si>
  <si>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</si>
  <si>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</si>
  <si>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</si>
  <si>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</si>
  <si>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</si>
  <si>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</si>
  <si>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</si>
  <si>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</si>
  <si>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</si>
  <si>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</si>
  <si>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</si>
  <si>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</si>
  <si>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</si>
  <si>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</si>
  <si>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</si>
  <si>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</si>
  <si>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</si>
  <si>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</si>
  <si>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</si>
  <si>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</si>
  <si>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</si>
  <si>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</si>
  <si>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</si>
  <si>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</si>
  <si>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</si>
  <si>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</si>
  <si>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</si>
  <si>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</si>
  <si>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</si>
  <si>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</si>
  <si>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</si>
  <si>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</si>
  <si>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</si>
  <si>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</si>
  <si>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</si>
  <si>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</si>
  <si>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</si>
  <si>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</si>
  <si>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</si>
  <si>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</si>
  <si>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</si>
  <si>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</si>
  <si>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</si>
  <si>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</si>
  <si>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</si>
  <si>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</si>
  <si>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</si>
  <si>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</si>
  <si>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</si>
  <si>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</si>
  <si>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</si>
  <si>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</si>
  <si>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</si>
  <si>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</si>
  <si>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</si>
  <si>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</si>
  <si>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</si>
  <si>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</si>
  <si>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</si>
  <si>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</si>
  <si>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</si>
  <si>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</si>
  <si>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</si>
  <si>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</si>
  <si>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</si>
  <si>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</si>
  <si>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</si>
  <si>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</si>
  <si>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</si>
  <si>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</si>
  <si>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</si>
  <si>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</si>
  <si>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</si>
  <si>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</si>
  <si>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</si>
  <si>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</si>
  <si>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</si>
  <si>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</si>
  <si>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</si>
  <si>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</si>
  <si>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</si>
  <si>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</si>
  <si>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</si>
  <si>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</si>
  <si>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</si>
  <si>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</si>
  <si>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</si>
  <si>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</si>
  <si>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</si>
  <si>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</si>
  <si>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</si>
  <si>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</si>
  <si>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</si>
  <si>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</si>
  <si>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</si>
  <si>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</si>
  <si>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</si>
  <si>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</si>
  <si>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</si>
  <si>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</si>
  <si>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</si>
  <si>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</si>
  <si>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</si>
  <si>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</si>
  <si>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</si>
  <si>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</si>
  <si>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</si>
  <si>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</si>
  <si>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</si>
  <si>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</si>
  <si>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</si>
  <si>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</si>
  <si>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</si>
  <si>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</si>
  <si>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</si>
  <si>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</si>
  <si>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</si>
  <si>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</si>
  <si>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</si>
  <si>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</si>
  <si>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</si>
  <si>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</si>
  <si>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</si>
  <si>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</si>
  <si>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</si>
  <si>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</si>
  <si>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</si>
  <si>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</si>
  <si>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</si>
  <si>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</si>
  <si>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</si>
  <si>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</si>
  <si>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</si>
  <si>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</si>
  <si>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</si>
  <si>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</si>
  <si>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</si>
  <si>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</si>
  <si>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</si>
  <si>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</si>
  <si>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</si>
  <si>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</si>
  <si>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</si>
  <si>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</si>
  <si>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</si>
  <si>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</si>
  <si>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</si>
  <si>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</si>
  <si>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</si>
  <si>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</si>
  <si>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</si>
  <si>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</si>
  <si>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</si>
  <si>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</si>
  <si>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</si>
  <si>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</si>
  <si>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</si>
  <si>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</si>
  <si>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</si>
  <si>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</si>
  <si>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</si>
  <si>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</si>
  <si>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</si>
  <si>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</si>
  <si>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</si>
  <si>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</si>
  <si>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</si>
  <si>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</si>
  <si>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</si>
  <si>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</si>
  <si>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</si>
  <si>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</si>
  <si>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</si>
  <si>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</si>
  <si>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</si>
  <si>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</si>
  <si>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</si>
  <si>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</si>
  <si>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</si>
  <si>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</si>
  <si>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</si>
  <si>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</si>
  <si>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</si>
  <si>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</si>
  <si>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</si>
  <si>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</si>
  <si>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</si>
  <si>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</si>
  <si>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</si>
  <si>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</si>
  <si>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</si>
  <si>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</si>
  <si>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</si>
  <si>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</si>
  <si>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</si>
  <si>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</si>
  <si>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</si>
  <si>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</si>
  <si>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</si>
  <si>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</si>
  <si>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</si>
  <si>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</si>
  <si>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</si>
  <si>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</si>
  <si>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</si>
  <si>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</si>
  <si>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</si>
  <si>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</si>
  <si>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</si>
  <si>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</si>
  <si>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</si>
  <si>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</si>
  <si>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</si>
  <si>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</si>
  <si>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</si>
  <si>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</si>
  <si>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</si>
  <si>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</si>
  <si>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</si>
  <si>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</si>
  <si>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</si>
  <si>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</si>
  <si>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</si>
  <si>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</si>
  <si>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</si>
  <si>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</si>
  <si>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</si>
  <si>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</si>
  <si>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</si>
  <si>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</si>
  <si>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</si>
  <si>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</si>
  <si>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</si>
  <si>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</si>
  <si>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</si>
  <si>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</si>
  <si>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</si>
  <si>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</si>
  <si>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</si>
  <si>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</si>
  <si>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</si>
  <si>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</si>
  <si>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</si>
  <si>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</si>
  <si>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</si>
  <si>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</si>
  <si>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</si>
  <si>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</si>
  <si>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</si>
  <si>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</si>
  <si>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</si>
  <si>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</si>
  <si>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</si>
  <si>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</si>
  <si>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</si>
  <si>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</si>
  <si>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</si>
  <si>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</si>
  <si>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</si>
  <si>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</si>
  <si>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</si>
  <si>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</si>
  <si>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</si>
  <si>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</si>
  <si>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</si>
  <si>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</si>
  <si>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</si>
  <si>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</si>
  <si>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</si>
  <si>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</si>
  <si>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</si>
  <si>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</si>
  <si>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</si>
  <si>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</si>
  <si>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</si>
  <si>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</si>
  <si>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</si>
  <si>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</si>
  <si>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</si>
  <si>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</si>
  <si>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</si>
  <si>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</si>
  <si>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</si>
  <si>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</si>
  <si>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</si>
  <si>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</si>
  <si>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</si>
  <si>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</si>
  <si>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</si>
  <si>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</si>
  <si>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</si>
  <si>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</si>
  <si>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</si>
  <si>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</si>
  <si>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</si>
  <si>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</si>
  <si>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</si>
  <si>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</si>
  <si>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</si>
  <si>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</si>
  <si>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</si>
  <si>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</si>
  <si>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</si>
  <si>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</si>
  <si>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</si>
  <si>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</si>
  <si>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</si>
  <si>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</si>
  <si>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</si>
  <si>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</si>
  <si>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</si>
  <si>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</si>
  <si>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</si>
  <si>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</si>
  <si>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</si>
  <si>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</si>
  <si>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</si>
  <si>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</si>
  <si>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</si>
  <si>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</si>
  <si>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</si>
  <si>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</si>
  <si>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</si>
  <si>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</si>
  <si>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</si>
  <si>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</si>
  <si>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</si>
  <si>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</si>
  <si>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</si>
  <si>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</si>
  <si>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</si>
  <si>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</si>
  <si>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</si>
  <si>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</si>
  <si>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</si>
  <si>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</si>
  <si>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</si>
  <si>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</si>
  <si>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</si>
  <si>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</si>
  <si>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</si>
  <si>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</si>
  <si>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</si>
  <si>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</si>
  <si>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</si>
  <si>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</si>
  <si>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</si>
  <si>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</si>
  <si>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</si>
  <si>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</si>
  <si>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</si>
  <si>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</si>
  <si>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</si>
  <si>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</si>
  <si>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</si>
  <si>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</si>
  <si>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</si>
  <si>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</si>
  <si>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</si>
  <si>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</si>
  <si>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</si>
  <si>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</si>
  <si>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</si>
  <si>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</si>
  <si>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</si>
  <si>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</si>
  <si>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</si>
  <si>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</si>
  <si>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</si>
  <si>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</si>
  <si>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</si>
  <si>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</si>
  <si>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</si>
  <si>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</si>
  <si>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</si>
  <si>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</si>
  <si>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</si>
  <si>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</si>
  <si>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</si>
  <si>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</si>
  <si>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</si>
  <si>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</si>
  <si>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</si>
  <si>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</si>
  <si>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</si>
  <si>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</si>
  <si>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</si>
  <si>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</si>
  <si>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</si>
  <si>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</si>
  <si>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</si>
  <si>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</si>
  <si>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</si>
  <si>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</si>
  <si>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</si>
  <si>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</si>
  <si>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</si>
  <si>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</si>
  <si>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</si>
  <si>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</si>
  <si>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</si>
  <si>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</si>
  <si>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</si>
  <si>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</si>
  <si>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</si>
  <si>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</si>
  <si>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</si>
  <si>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</si>
  <si>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</si>
  <si>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</si>
  <si>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</si>
  <si>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</si>
  <si>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</si>
  <si>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</si>
  <si>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</si>
  <si>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</si>
  <si>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</si>
  <si>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</si>
  <si>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</si>
  <si>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</si>
  <si>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</si>
  <si>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</si>
  <si>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</si>
  <si>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</si>
  <si>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</si>
  <si>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</si>
  <si>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</si>
  <si>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</si>
  <si>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</si>
  <si>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</si>
  <si>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</si>
  <si>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</si>
  <si>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</si>
  <si>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</si>
  <si>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</si>
  <si>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</si>
  <si>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</si>
  <si>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</si>
  <si>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</si>
  <si>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</si>
  <si>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</si>
  <si>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</si>
  <si>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</si>
  <si>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</si>
  <si>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</si>
  <si>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</si>
  <si>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</si>
  <si>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</si>
  <si>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</si>
  <si>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</si>
  <si>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</si>
  <si>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</si>
  <si>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</si>
  <si>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</si>
  <si>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</si>
  <si>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</si>
  <si>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</si>
  <si>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</si>
  <si>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</si>
  <si>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</si>
  <si>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</si>
  <si>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</si>
  <si>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</si>
  <si>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</si>
  <si>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</si>
  <si>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</si>
  <si>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</si>
  <si>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</si>
  <si>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</si>
  <si>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</si>
  <si>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</si>
  <si>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</si>
  <si>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</si>
  <si>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</si>
  <si>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</si>
  <si>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</si>
  <si>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</si>
  <si>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</si>
  <si>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</si>
  <si>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</si>
  <si>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</si>
  <si>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</si>
  <si>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</si>
  <si>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</si>
  <si>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</si>
  <si>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</si>
  <si>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</si>
  <si>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</si>
  <si>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</si>
  <si>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</si>
  <si>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</si>
  <si>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</si>
  <si>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</si>
  <si>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</si>
  <si>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</si>
  <si>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</si>
  <si>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</si>
  <si>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</si>
  <si>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</si>
  <si>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</si>
  <si>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</si>
  <si>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</si>
  <si>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</si>
  <si>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</si>
  <si>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</si>
  <si>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</si>
  <si>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</si>
  <si>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</si>
  <si>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</si>
  <si>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</si>
  <si>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</si>
  <si>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</si>
  <si>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</si>
  <si>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</si>
  <si>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</si>
  <si>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</si>
  <si>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</si>
  <si>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</si>
  <si>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</si>
  <si>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</si>
  <si>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</si>
  <si>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</si>
  <si>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</si>
  <si>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</si>
  <si>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</si>
  <si>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</si>
  <si>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</si>
  <si>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</si>
  <si>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</si>
  <si>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</si>
  <si>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</si>
  <si>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</si>
  <si>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</si>
  <si>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</si>
  <si>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</si>
  <si>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</si>
  <si>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</si>
  <si>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</si>
  <si>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</si>
  <si>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</si>
  <si>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</si>
  <si>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</si>
  <si>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</si>
  <si>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</si>
  <si>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</si>
  <si>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</si>
  <si>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</si>
  <si>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</si>
  <si>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</si>
  <si>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</si>
  <si>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</si>
  <si>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</si>
  <si>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</si>
  <si>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</si>
  <si>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</si>
  <si>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</si>
  <si>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</si>
  <si>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</si>
  <si>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</si>
  <si>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</si>
  <si>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</si>
  <si>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</si>
  <si>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</si>
  <si>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</si>
  <si>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</si>
  <si>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</si>
  <si>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</si>
  <si>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</si>
  <si>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</si>
  <si>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</si>
  <si>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</si>
  <si>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</si>
  <si>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</si>
  <si>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</si>
  <si>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</si>
  <si>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</si>
  <si>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</si>
  <si>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</si>
  <si>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</si>
  <si>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</si>
  <si>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</si>
  <si>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</si>
  <si>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</si>
  <si>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</si>
  <si>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</si>
  <si>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</si>
  <si>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</si>
  <si>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</si>
  <si>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</si>
  <si>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</si>
  <si>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</si>
  <si>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</si>
  <si>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</si>
  <si>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</si>
  <si>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</si>
  <si>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</si>
  <si>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</si>
  <si>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</si>
  <si>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</si>
  <si>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</si>
  <si>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</si>
  <si>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</si>
  <si>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</si>
  <si>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</si>
  <si>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</si>
  <si>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</si>
  <si>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</si>
  <si>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</si>
  <si>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</si>
  <si>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</si>
  <si>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</si>
  <si>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</si>
  <si>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</si>
  <si>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</si>
  <si>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</si>
  <si>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</si>
  <si>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</si>
  <si>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</si>
  <si>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</si>
  <si>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</si>
  <si>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</si>
  <si>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</si>
  <si>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</si>
  <si>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</si>
  <si>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</si>
  <si>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</si>
  <si>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</si>
  <si>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</si>
  <si>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</si>
  <si>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</si>
  <si>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</si>
  <si>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</si>
  <si>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</si>
  <si>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</si>
  <si>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</si>
  <si>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</si>
  <si>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</si>
  <si>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</si>
  <si>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</si>
  <si>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</si>
  <si>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</si>
  <si>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</si>
  <si>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</si>
  <si>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</si>
  <si>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</si>
  <si>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</si>
  <si>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</si>
  <si>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</si>
  <si>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</si>
  <si>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</si>
  <si>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</si>
  <si>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</si>
  <si>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</si>
  <si>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</si>
  <si>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</si>
  <si>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</si>
  <si>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</si>
  <si>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</si>
  <si>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</si>
  <si>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</si>
  <si>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</si>
  <si>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</si>
  <si>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</si>
  <si>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</si>
  <si>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</si>
  <si>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</si>
  <si>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</si>
  <si>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</si>
  <si>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</si>
  <si>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</si>
  <si>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</si>
  <si>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</si>
  <si>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</si>
  <si>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</si>
  <si>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</si>
  <si>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</si>
  <si>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</si>
  <si>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</si>
  <si>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</si>
  <si>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</si>
  <si>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</si>
  <si>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</si>
  <si>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</si>
  <si>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</si>
  <si>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</si>
  <si>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</si>
  <si>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</si>
  <si>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</si>
  <si>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</si>
  <si>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</si>
  <si>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</si>
  <si>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</si>
  <si>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</si>
  <si>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</si>
  <si>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</si>
  <si>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</si>
  <si>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</si>
  <si>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</si>
  <si>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</si>
  <si>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</si>
  <si>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</si>
  <si>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</si>
  <si>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</si>
  <si>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</si>
  <si>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</si>
  <si>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</si>
  <si>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</si>
  <si>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</si>
  <si>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</si>
  <si>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</si>
  <si>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</si>
  <si>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</si>
  <si>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</si>
  <si>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</si>
  <si>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</si>
  <si>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</si>
  <si>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</si>
  <si>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</si>
  <si>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</si>
  <si>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</si>
  <si>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</si>
  <si>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</si>
  <si>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</si>
  <si>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</si>
  <si>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</si>
  <si>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</si>
  <si>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</si>
  <si>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</si>
  <si>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</si>
  <si>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</si>
  <si>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</si>
  <si>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</si>
  <si>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</si>
  <si>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</si>
  <si>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</si>
  <si>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</si>
  <si>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</si>
  <si>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</si>
  <si>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</si>
  <si>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</si>
  <si>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</si>
  <si>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</si>
  <si>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</si>
  <si>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</si>
  <si>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</si>
  <si>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</si>
  <si>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</si>
  <si>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</si>
  <si>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</si>
  <si>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</si>
  <si>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</si>
  <si>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</si>
  <si>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</si>
  <si>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</si>
  <si>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</si>
  <si>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</si>
  <si>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</si>
  <si>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</si>
  <si>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</si>
  <si>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</si>
  <si>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</si>
  <si>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</si>
  <si>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</si>
  <si>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</si>
  <si>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</si>
  <si>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</si>
  <si>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</si>
  <si>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</si>
  <si>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</si>
  <si>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</si>
  <si>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</si>
  <si>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</si>
  <si>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</si>
  <si>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</si>
  <si>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</si>
  <si>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</si>
  <si>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</si>
  <si>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</si>
  <si>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</si>
  <si>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</si>
  <si>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</si>
  <si>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</si>
  <si>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</si>
  <si>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</si>
  <si>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</si>
  <si>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</si>
  <si>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</si>
  <si>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</si>
  <si>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</si>
  <si>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</si>
  <si>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</si>
  <si>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</si>
  <si>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</si>
  <si>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</si>
  <si>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</si>
  <si>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</si>
  <si>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</si>
  <si>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</si>
  <si>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</si>
  <si>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</si>
  <si>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</si>
  <si>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</si>
  <si>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</si>
  <si>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</si>
  <si>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</si>
  <si>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</si>
  <si>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</si>
  <si>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</si>
  <si>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</si>
  <si>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</si>
  <si>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</si>
  <si>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</si>
  <si>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</si>
  <si>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</si>
  <si>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</si>
  <si>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</si>
  <si>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</si>
  <si>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</si>
  <si>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</si>
  <si>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</si>
  <si>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</si>
  <si>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</si>
  <si>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</si>
  <si>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</si>
  <si>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</si>
  <si>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</si>
  <si>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</si>
  <si>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</si>
  <si>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</si>
  <si>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</si>
  <si>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</si>
  <si>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</si>
  <si>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</si>
  <si>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</si>
  <si>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</si>
  <si>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</si>
  <si>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</si>
  <si>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</si>
  <si>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</si>
  <si>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</si>
  <si>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</si>
  <si>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</si>
  <si>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</si>
  <si>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</si>
  <si>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</si>
  <si>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</si>
  <si>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</si>
  <si>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</si>
  <si>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</si>
  <si>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</si>
  <si>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</si>
  <si>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</si>
  <si>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</si>
  <si>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</si>
  <si>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</si>
  <si>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</si>
  <si>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</si>
  <si>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</si>
  <si>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</si>
  <si>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</si>
  <si>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</si>
  <si>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</si>
  <si>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</si>
  <si>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</si>
  <si>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</si>
  <si>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</si>
  <si>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</si>
  <si>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</si>
  <si>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</si>
  <si>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</si>
  <si>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</si>
  <si>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</si>
  <si>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</si>
  <si>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</si>
  <si>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</si>
  <si>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</si>
  <si>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</si>
  <si>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</si>
  <si>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</si>
  <si>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</si>
  <si>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</si>
  <si>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</si>
  <si>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</si>
  <si>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</si>
  <si>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</si>
  <si>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</si>
  <si>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</si>
  <si>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</si>
  <si>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</si>
  <si>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</si>
  <si>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</si>
  <si>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</si>
  <si>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</si>
  <si>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</si>
  <si>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</si>
  <si>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</si>
  <si>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</si>
  <si>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</si>
  <si>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</si>
  <si>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</si>
  <si>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</si>
  <si>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</si>
  <si>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</si>
  <si>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</si>
  <si>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</si>
  <si>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</si>
  <si>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</si>
  <si>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</si>
  <si>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</si>
  <si>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</si>
  <si>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</si>
  <si>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</si>
  <si>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</si>
  <si>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</si>
  <si>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</si>
  <si>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</si>
  <si>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</si>
  <si>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</si>
  <si>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</si>
  <si>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</si>
  <si>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</si>
  <si>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</si>
  <si>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</si>
  <si>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</si>
  <si>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</si>
  <si>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</si>
  <si>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</si>
  <si>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</si>
  <si>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</si>
  <si>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</si>
  <si>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</si>
  <si>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</si>
  <si>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</si>
  <si>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</si>
  <si>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</si>
  <si>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</si>
  <si>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</si>
  <si>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</si>
  <si>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</si>
  <si>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</si>
  <si>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</si>
  <si>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</si>
  <si>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</si>
  <si>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</si>
  <si>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</si>
  <si>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</si>
  <si>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</si>
  <si>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</si>
  <si>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</si>
  <si>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</si>
  <si>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</si>
  <si>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</si>
  <si>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</si>
  <si>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</si>
  <si>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</si>
  <si>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</si>
  <si>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</si>
  <si>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</si>
  <si>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</si>
  <si>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</si>
  <si>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</si>
  <si>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</si>
  <si>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</si>
  <si>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</si>
  <si>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</si>
  <si>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</si>
  <si>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</si>
  <si>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</si>
  <si>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</si>
  <si>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</si>
  <si>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</si>
  <si>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</si>
  <si>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</si>
  <si>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</si>
  <si>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</si>
  <si>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</si>
  <si>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</si>
  <si>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</si>
  <si>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</si>
  <si>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</si>
  <si>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</si>
  <si>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</si>
  <si>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</si>
  <si>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</si>
  <si>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</si>
  <si>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</si>
  <si>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</si>
  <si>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</si>
  <si>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</si>
  <si>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</si>
  <si>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</si>
  <si>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</si>
  <si>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</si>
  <si>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</si>
  <si>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</si>
  <si>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</si>
  <si>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</si>
  <si>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</si>
  <si>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</si>
  <si>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</si>
  <si>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</si>
  <si>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</si>
  <si>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</si>
  <si>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</si>
  <si>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</si>
  <si>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</si>
  <si>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</si>
  <si>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</si>
  <si>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</si>
  <si>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</si>
  <si>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</si>
  <si>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</si>
  <si>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</si>
  <si>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</si>
  <si>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</si>
  <si>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</si>
  <si>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</si>
  <si>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</si>
  <si>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</si>
  <si>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</si>
  <si>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</si>
  <si>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</si>
  <si>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</si>
  <si>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</si>
  <si>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</si>
  <si>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</si>
  <si>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</si>
  <si>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</si>
  <si>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</si>
  <si>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</si>
  <si>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</si>
  <si>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</si>
  <si>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</si>
  <si>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</si>
  <si>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</si>
  <si>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</si>
  <si>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</si>
  <si>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</si>
  <si>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</si>
  <si>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</si>
  <si>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</si>
  <si>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</si>
  <si>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</si>
  <si>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</si>
  <si>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</si>
  <si>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</si>
  <si>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</si>
  <si>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</si>
  <si>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</si>
  <si>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</si>
  <si>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</si>
  <si>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</si>
  <si>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</si>
  <si>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</si>
  <si>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</si>
  <si>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</si>
  <si>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</si>
  <si>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</si>
  <si>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</si>
  <si>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</si>
  <si>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</si>
  <si>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</si>
  <si>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</si>
  <si>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</si>
  <si>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</si>
  <si>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</si>
  <si>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</si>
  <si>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</si>
  <si>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</si>
  <si>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</si>
  <si>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</si>
  <si>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</si>
  <si>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</si>
  <si>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</si>
  <si>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</si>
  <si>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</si>
  <si>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</si>
  <si>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</si>
  <si>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</si>
  <si>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</si>
  <si>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</si>
  <si>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</si>
  <si>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</si>
  <si>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</si>
  <si>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</si>
  <si>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</si>
  <si>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</si>
  <si>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</si>
  <si>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</si>
  <si>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</si>
  <si>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</si>
  <si>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</si>
  <si>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</si>
  <si>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</si>
  <si>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</si>
  <si>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</si>
  <si>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</si>
  <si>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</si>
  <si>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</si>
  <si>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</si>
  <si>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</si>
  <si>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</si>
  <si>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</si>
  <si>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</si>
  <si>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</si>
  <si>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</si>
  <si>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</si>
  <si>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</si>
  <si>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</si>
  <si>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</si>
  <si>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</si>
  <si>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</si>
  <si>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</si>
  <si>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</si>
  <si>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</si>
  <si>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</si>
  <si>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</si>
  <si>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</si>
  <si>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</si>
  <si>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</si>
  <si>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</si>
  <si>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</si>
  <si>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</si>
  <si>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</si>
  <si>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</si>
  <si>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</si>
  <si>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</si>
  <si>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</si>
  <si>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</si>
  <si>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</si>
  <si>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</si>
  <si>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</si>
  <si>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</si>
  <si>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</si>
  <si>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</si>
  <si>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</si>
  <si>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</si>
  <si>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</si>
  <si>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</si>
  <si>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</si>
  <si>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</si>
  <si>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</si>
  <si>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</si>
  <si>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</si>
  <si>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</si>
  <si>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</si>
  <si>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</si>
  <si>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</si>
  <si>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</si>
  <si>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</si>
  <si>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</si>
  <si>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</si>
  <si>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</si>
  <si>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</si>
  <si>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</si>
  <si>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</si>
  <si>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</si>
  <si>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</si>
  <si>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</si>
  <si>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</si>
  <si>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</si>
  <si>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</si>
  <si>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</si>
  <si>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</si>
  <si>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</si>
  <si>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</si>
  <si>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</si>
  <si>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</si>
  <si>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</si>
  <si>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</si>
  <si>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</si>
  <si>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</si>
  <si>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</si>
  <si>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</si>
  <si>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</si>
  <si>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</si>
  <si>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</si>
  <si>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</si>
  <si>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</si>
  <si>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</si>
  <si>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</si>
  <si>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</si>
  <si>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</si>
  <si>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</si>
  <si>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</si>
  <si>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</si>
  <si>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</si>
  <si>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</si>
  <si>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</si>
  <si>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</si>
  <si>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</si>
  <si>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</si>
  <si>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</si>
  <si>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</si>
  <si>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</si>
  <si>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</si>
  <si>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</si>
  <si>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</si>
  <si>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</si>
  <si>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</si>
  <si>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</si>
  <si>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</si>
  <si>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</si>
  <si>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</si>
  <si>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</si>
  <si>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</si>
  <si>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</si>
  <si>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</si>
  <si>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</si>
  <si>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</si>
  <si>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</si>
  <si>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</si>
  <si>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</si>
  <si>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</si>
  <si>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</si>
  <si>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</si>
  <si>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</si>
  <si>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</si>
  <si>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</si>
  <si>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</si>
  <si>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</si>
  <si>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</si>
  <si>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</si>
  <si>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</si>
  <si>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</si>
  <si>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</si>
  <si>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</si>
  <si>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</si>
  <si>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</si>
  <si>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</si>
  <si>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</si>
  <si>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</si>
  <si>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</si>
  <si>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</si>
  <si>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</si>
  <si>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</si>
  <si>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</si>
  <si>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</si>
  <si>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</si>
  <si>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</si>
  <si>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</si>
  <si>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</si>
  <si>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</si>
  <si>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</si>
  <si>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</si>
  <si>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</si>
  <si>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</si>
  <si>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</si>
  <si>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</si>
  <si>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</si>
  <si>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</si>
  <si>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</si>
  <si>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</si>
  <si>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</si>
  <si>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</si>
  <si>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</si>
  <si>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</si>
  <si>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</si>
  <si>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</si>
  <si>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</si>
  <si>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</si>
  <si>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</si>
  <si>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</si>
  <si>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</si>
  <si>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</si>
  <si>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</si>
  <si>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</si>
  <si>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</si>
  <si>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</si>
  <si>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</si>
  <si>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</si>
  <si>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</si>
  <si>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</si>
  <si>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</si>
  <si>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</si>
  <si>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</si>
  <si>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</si>
  <si>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</si>
  <si>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</si>
  <si>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</si>
  <si>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</si>
  <si>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</si>
  <si>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</si>
  <si>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</si>
  <si>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</si>
  <si>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</si>
  <si>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</si>
  <si>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</si>
  <si>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</si>
  <si>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</si>
  <si>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</si>
  <si>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</si>
  <si>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</si>
  <si>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</si>
  <si>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</si>
  <si>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</si>
  <si>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</si>
  <si>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</si>
  <si>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</si>
  <si>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</si>
  <si>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</si>
  <si>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</si>
  <si>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</si>
  <si>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</si>
  <si>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</si>
  <si>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</si>
  <si>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</si>
  <si>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</si>
  <si>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</si>
  <si>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</si>
  <si>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</si>
  <si>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</si>
  <si>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</si>
  <si>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</si>
  <si>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</si>
  <si>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</si>
  <si>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</si>
  <si>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</si>
  <si>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</si>
  <si>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</si>
  <si>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</si>
  <si>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</si>
  <si>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</si>
  <si>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</si>
  <si>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</si>
  <si>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</si>
  <si>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</si>
  <si>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</si>
  <si>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</si>
  <si>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</si>
  <si>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</si>
  <si>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</si>
  <si>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</si>
  <si>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</si>
  <si>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</si>
  <si>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</si>
  <si>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</si>
  <si>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</si>
  <si>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</si>
  <si>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</si>
  <si>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</si>
  <si>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</si>
  <si>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</si>
  <si>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</si>
  <si>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</si>
  <si>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</si>
  <si>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</si>
  <si>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</si>
  <si>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</si>
  <si>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</si>
  <si>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</si>
  <si>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</si>
  <si>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</si>
  <si>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</si>
  <si>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</si>
  <si>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</si>
  <si>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</si>
  <si>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</si>
  <si>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</si>
  <si>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</si>
  <si>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</si>
  <si>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</si>
  <si>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</si>
  <si>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</si>
  <si>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</si>
  <si>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</si>
  <si>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</si>
  <si>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</si>
  <si>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</si>
  <si>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</si>
  <si>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</si>
  <si>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</si>
  <si>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</si>
  <si>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</si>
  <si>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</si>
  <si>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</si>
  <si>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</si>
  <si>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</si>
  <si>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</si>
  <si>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</si>
  <si>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</si>
  <si>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</si>
  <si>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</si>
  <si>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</si>
  <si>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</si>
  <si>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</si>
  <si>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</si>
  <si>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</si>
  <si>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</si>
  <si>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</si>
  <si>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</si>
  <si>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</si>
  <si>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</si>
  <si>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</si>
  <si>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</si>
  <si>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</si>
  <si>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</si>
  <si>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</si>
  <si>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</si>
  <si>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</si>
  <si>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</si>
  <si>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</si>
  <si>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</si>
  <si>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</si>
  <si>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</si>
  <si>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</si>
  <si>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</si>
  <si>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</si>
  <si>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</si>
  <si>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</si>
  <si>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</si>
  <si>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</si>
  <si>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</si>
  <si>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</si>
  <si>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</si>
  <si>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</si>
  <si>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</si>
  <si>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</si>
  <si>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</si>
  <si>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</si>
  <si>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</si>
  <si>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</si>
  <si>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</si>
  <si>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</si>
  <si>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</si>
  <si>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</si>
  <si>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</si>
  <si>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</si>
  <si>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</si>
  <si>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</si>
  <si>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</si>
  <si>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</si>
  <si>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</si>
  <si>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</si>
  <si>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</si>
  <si>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</si>
  <si>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</si>
  <si>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</si>
  <si>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</si>
  <si>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</si>
  <si>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</si>
  <si>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</si>
  <si>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</si>
  <si>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</si>
  <si>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</si>
  <si>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</si>
  <si>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</si>
  <si>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</si>
  <si>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</si>
  <si>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</si>
  <si>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</si>
  <si>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</si>
  <si>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</si>
  <si>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</si>
  <si>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</si>
  <si>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</si>
  <si>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</si>
  <si>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</si>
  <si>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</si>
  <si>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</si>
  <si>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</si>
  <si>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</si>
  <si>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</si>
  <si>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</si>
  <si>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</si>
  <si>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</si>
  <si>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</si>
  <si>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</si>
  <si>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</si>
  <si>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</si>
  <si>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</si>
  <si>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</si>
  <si>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</si>
  <si>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</si>
  <si>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</si>
  <si>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</si>
  <si>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</si>
  <si>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</si>
  <si>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</si>
  <si>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</si>
  <si>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</si>
  <si>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</si>
  <si>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</si>
  <si>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</si>
  <si>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</si>
  <si>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</si>
  <si>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</si>
  <si>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</si>
  <si>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</si>
  <si>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</si>
  <si>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</si>
  <si>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</si>
  <si>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</si>
  <si>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</si>
  <si>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</si>
  <si>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</si>
  <si>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</si>
  <si>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</si>
  <si>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</si>
  <si>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</si>
  <si>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</si>
  <si>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</si>
  <si>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</si>
  <si>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</si>
  <si>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</si>
  <si>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</si>
  <si>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</si>
  <si>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</si>
  <si>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</si>
  <si>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</si>
  <si>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</si>
  <si>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</si>
  <si>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</si>
  <si>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</si>
  <si>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</si>
  <si>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</si>
  <si>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</si>
  <si>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</si>
  <si>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</si>
  <si>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</si>
  <si>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</si>
  <si>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</si>
  <si>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</si>
  <si>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</si>
  <si>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</si>
  <si>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</si>
  <si>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</si>
  <si>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</si>
  <si>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</si>
  <si>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</si>
  <si>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</si>
  <si>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</si>
  <si>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</si>
  <si>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</si>
  <si>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</si>
  <si>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</si>
  <si>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</si>
  <si>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</si>
  <si>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</si>
  <si>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</si>
  <si>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</si>
  <si>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</si>
  <si>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</si>
  <si>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</si>
  <si>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</si>
  <si>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</si>
  <si>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</si>
  <si>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</si>
  <si>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</si>
  <si>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</si>
  <si>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</si>
  <si>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</si>
  <si>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</si>
  <si>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</si>
  <si>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</si>
  <si>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</si>
  <si>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</si>
  <si>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</si>
  <si>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</si>
  <si>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</si>
  <si>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</si>
  <si>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</si>
  <si>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</si>
  <si>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</si>
  <si>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</si>
  <si>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</si>
  <si>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</si>
  <si>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</si>
  <si>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</si>
  <si>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</si>
  <si>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</si>
  <si>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</si>
  <si>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</si>
  <si>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</si>
  <si>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</si>
  <si>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</si>
  <si>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</si>
  <si>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</si>
  <si>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</si>
  <si>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</si>
  <si>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</si>
  <si>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</si>
  <si>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</si>
  <si>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</si>
  <si>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</si>
  <si>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</si>
  <si>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</si>
  <si>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</si>
  <si>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</si>
  <si>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</si>
  <si>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</si>
  <si>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</si>
  <si>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</si>
  <si>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</si>
  <si>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</si>
  <si>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</si>
  <si>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</si>
  <si>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</si>
  <si>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</si>
  <si>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</si>
  <si>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</si>
  <si>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</si>
  <si>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</si>
  <si>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</si>
  <si>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</si>
  <si>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</si>
  <si>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</si>
  <si>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</si>
  <si>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</si>
  <si>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</si>
  <si>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</si>
  <si>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</si>
  <si>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</si>
  <si>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</si>
  <si>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</si>
  <si>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</si>
  <si>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</si>
  <si>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</si>
  <si>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</si>
  <si>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</si>
  <si>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</si>
  <si>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</si>
  <si>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</si>
  <si>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</si>
  <si>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</si>
  <si>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</si>
  <si>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</si>
  <si>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</si>
  <si>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</si>
  <si>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</si>
  <si>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</si>
  <si>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</si>
  <si>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</si>
  <si>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</si>
  <si>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</si>
  <si>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</si>
  <si>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</si>
  <si>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</si>
  <si>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</si>
  <si>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</si>
  <si>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</si>
  <si>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</si>
  <si>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</si>
  <si>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</si>
  <si>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</si>
  <si>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</si>
  <si>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</si>
  <si>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</si>
  <si>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</si>
  <si>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</si>
  <si>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</si>
  <si>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</si>
  <si>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</si>
  <si>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</si>
  <si>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</si>
  <si>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</si>
  <si>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</si>
  <si>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</si>
  <si>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</si>
  <si>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</si>
  <si>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</si>
  <si>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</si>
  <si>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</si>
  <si>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</si>
  <si>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</si>
  <si>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</si>
  <si>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</si>
  <si>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</si>
  <si>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</si>
  <si>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</si>
  <si>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</si>
  <si>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</si>
  <si>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</si>
  <si>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</si>
  <si>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</si>
  <si>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</si>
  <si>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</si>
  <si>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</si>
  <si>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</si>
  <si>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</si>
  <si>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</si>
  <si>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</si>
  <si>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</si>
  <si>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</si>
  <si>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</si>
  <si>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</si>
  <si>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</si>
  <si>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</si>
  <si>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</si>
  <si>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</si>
  <si>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</si>
  <si>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</si>
  <si>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</si>
  <si>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</si>
  <si>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</si>
  <si>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</si>
  <si>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</si>
  <si>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</si>
  <si>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</si>
  <si>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</si>
  <si>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</si>
  <si>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</si>
  <si>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</si>
  <si>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</si>
  <si>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</si>
  <si>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</si>
  <si>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</si>
  <si>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</si>
  <si>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</si>
  <si>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</si>
  <si>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</si>
  <si>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</si>
  <si>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</si>
  <si>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</si>
  <si>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</si>
  <si>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</si>
  <si>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</si>
  <si>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</si>
  <si>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</si>
  <si>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</si>
  <si>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</si>
  <si>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</si>
  <si>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</si>
  <si>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</si>
  <si>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</si>
  <si>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</si>
  <si>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</si>
  <si>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</si>
  <si>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</si>
  <si>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</si>
  <si>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</si>
  <si>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</si>
  <si>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</si>
  <si>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</si>
  <si>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</si>
  <si>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</si>
  <si>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</si>
  <si>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</si>
  <si>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</si>
  <si>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</si>
  <si>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</si>
  <si>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</si>
  <si>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</si>
  <si>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</si>
  <si>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</si>
  <si>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</si>
  <si>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</si>
  <si>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</si>
  <si>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</si>
  <si>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</si>
  <si>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</si>
  <si>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</si>
  <si>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</si>
  <si>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</si>
  <si>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</si>
  <si>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</si>
  <si>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</si>
  <si>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</si>
  <si>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</si>
  <si>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</si>
  <si>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</si>
  <si>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</si>
  <si>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</si>
  <si>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</si>
  <si>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</si>
  <si>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</si>
  <si>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</si>
  <si>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</si>
  <si>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</si>
  <si>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</si>
  <si>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</si>
  <si>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</si>
  <si>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</si>
  <si>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</si>
  <si>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</si>
  <si>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</si>
  <si>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</si>
  <si>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</si>
  <si>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</si>
  <si>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</si>
  <si>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</si>
  <si>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</si>
  <si>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</si>
  <si>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</si>
  <si>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</si>
  <si>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</si>
  <si>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</si>
  <si>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</si>
  <si>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</si>
  <si>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</si>
  <si>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</si>
  <si>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</si>
  <si>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</si>
  <si>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</si>
  <si>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</si>
  <si>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</si>
  <si>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</si>
  <si>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</si>
  <si>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</si>
  <si>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</si>
  <si>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</si>
  <si>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</si>
  <si>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</si>
  <si>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</si>
  <si>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</si>
  <si>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</si>
  <si>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</si>
  <si>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</si>
  <si>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</si>
  <si>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</si>
  <si>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</si>
  <si>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</si>
  <si>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</si>
  <si>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</si>
  <si>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</si>
  <si>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</si>
  <si>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</si>
  <si>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</si>
  <si>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</si>
  <si>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</si>
  <si>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</si>
  <si>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</si>
  <si>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</si>
  <si>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</si>
  <si>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</si>
  <si>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</si>
  <si>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</si>
  <si>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</si>
  <si>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</si>
  <si>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</si>
  <si>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</si>
  <si>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</si>
  <si>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</si>
  <si>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</si>
  <si>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</si>
  <si>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</si>
  <si>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</si>
  <si>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</si>
  <si>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</si>
  <si>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</si>
  <si>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</si>
  <si>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</si>
  <si>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</si>
  <si>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</si>
  <si>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</si>
  <si>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</si>
  <si>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</si>
  <si>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</si>
  <si>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</si>
  <si>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</si>
  <si>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</si>
  <si>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</si>
  <si>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</si>
  <si>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</si>
  <si>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</si>
  <si>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</si>
  <si>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</si>
  <si>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</si>
  <si>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</si>
  <si>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</si>
  <si>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</si>
  <si>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</si>
  <si>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</si>
  <si>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</si>
  <si>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</si>
  <si>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</si>
  <si>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</si>
  <si>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</si>
  <si>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</si>
  <si>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</si>
  <si>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</si>
  <si>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</si>
  <si>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</si>
  <si>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</si>
  <si>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</si>
  <si>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</si>
  <si>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</si>
  <si>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</si>
  <si>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</si>
  <si>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</si>
  <si>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</si>
  <si>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</si>
  <si>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</si>
  <si>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</si>
  <si>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</si>
  <si>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</si>
  <si>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</si>
  <si>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</si>
  <si>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</si>
  <si>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</si>
  <si>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</si>
  <si>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</si>
  <si>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</si>
  <si>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</si>
  <si>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</si>
  <si>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</si>
  <si>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</si>
  <si>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</si>
  <si>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</si>
  <si>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</si>
  <si>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</si>
  <si>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</si>
  <si>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</si>
  <si>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</si>
  <si>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</si>
  <si>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</si>
  <si>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</si>
  <si>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</si>
  <si>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</si>
  <si>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</si>
  <si>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</si>
  <si>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</si>
  <si>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</si>
  <si>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</si>
  <si>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</si>
  <si>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</si>
  <si>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</si>
  <si>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</si>
  <si>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</si>
  <si>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</si>
  <si>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</si>
  <si>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</si>
  <si>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</si>
  <si>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</si>
  <si>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</si>
  <si>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</si>
  <si>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</si>
  <si>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</si>
  <si>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</si>
  <si>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</si>
  <si>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</si>
  <si>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</si>
  <si>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</si>
  <si>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</si>
  <si>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</si>
  <si>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</si>
  <si>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</si>
  <si>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</si>
  <si>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</si>
  <si>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</si>
  <si>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</si>
  <si>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</si>
  <si>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</si>
  <si>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</si>
  <si>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</si>
  <si>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</si>
  <si>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</si>
  <si>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</si>
  <si>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</si>
  <si>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</si>
  <si>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</si>
  <si>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</si>
  <si>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</si>
  <si>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</si>
  <si>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</si>
  <si>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</si>
  <si>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</si>
  <si>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</si>
  <si>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</si>
  <si>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</si>
  <si>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</si>
  <si>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</si>
  <si>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</si>
  <si>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</si>
  <si>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</si>
  <si>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</si>
  <si>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</si>
  <si>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</si>
  <si>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</si>
  <si>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</si>
  <si>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</si>
  <si>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</si>
  <si>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</si>
  <si>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</si>
  <si>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</si>
  <si>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</si>
  <si>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</si>
  <si>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</si>
  <si>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</si>
  <si>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</si>
  <si>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</si>
  <si>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</si>
  <si>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</si>
  <si>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</si>
  <si>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</si>
  <si>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</si>
  <si>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</si>
  <si>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</si>
  <si>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</si>
  <si>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</si>
  <si>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</si>
  <si>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</si>
  <si>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</si>
  <si>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</si>
  <si>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</si>
  <si>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</si>
  <si>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</si>
  <si>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</si>
  <si>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</si>
  <si>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</si>
  <si>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</si>
  <si>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</si>
  <si>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</si>
  <si>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</si>
  <si>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</si>
  <si>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</si>
  <si>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</si>
  <si>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</si>
  <si>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</si>
  <si>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</si>
  <si>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</si>
  <si>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</si>
  <si>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</si>
  <si>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</si>
  <si>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</si>
  <si>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</si>
  <si>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</si>
  <si>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</si>
  <si>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</si>
  <si>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</si>
  <si>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</si>
  <si>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</si>
  <si>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</si>
  <si>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</si>
  <si>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</si>
  <si>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</si>
  <si>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</si>
  <si>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</si>
  <si>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</si>
  <si>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</si>
  <si>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</si>
  <si>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</si>
  <si>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</si>
  <si>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</si>
  <si>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</si>
  <si>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</si>
  <si>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</si>
  <si>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</si>
  <si>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</si>
  <si>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</si>
  <si>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</si>
  <si>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</si>
  <si>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</si>
  <si>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</si>
  <si>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</si>
  <si>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</si>
  <si>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</si>
  <si>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</si>
  <si>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</si>
  <si>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</si>
  <si>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</si>
  <si>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</si>
  <si>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</si>
  <si>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</si>
  <si>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</si>
  <si>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</si>
  <si>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</si>
  <si>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</si>
  <si>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</si>
  <si>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</si>
  <si>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</si>
  <si>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</si>
  <si>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</si>
  <si>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</si>
  <si>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</si>
  <si>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</si>
  <si>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</si>
  <si>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</si>
  <si>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</si>
  <si>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</si>
  <si>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</si>
  <si>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</si>
  <si>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</si>
  <si>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</si>
  <si>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</si>
  <si>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</si>
  <si>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</si>
  <si>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</si>
  <si>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</si>
  <si>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</si>
  <si>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</si>
  <si>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</si>
  <si>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</si>
  <si>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</si>
  <si>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</si>
  <si>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</si>
  <si>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</si>
  <si>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</si>
  <si>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</si>
  <si>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</si>
  <si>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</si>
  <si>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</si>
  <si>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</si>
  <si>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</si>
  <si>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</si>
  <si>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</si>
  <si>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</si>
  <si>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</si>
  <si>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</si>
  <si>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</si>
  <si>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</si>
  <si>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</si>
  <si>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</si>
  <si>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</si>
  <si>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</si>
  <si>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</si>
  <si>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</si>
  <si>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</si>
  <si>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</si>
  <si>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</si>
  <si>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</si>
  <si>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</si>
  <si>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</si>
  <si>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</si>
  <si>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</si>
  <si>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</si>
  <si>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</si>
  <si>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</si>
  <si>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</si>
  <si>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</si>
  <si>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</si>
  <si>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</si>
  <si>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</si>
  <si>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</si>
  <si>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</si>
  <si>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</si>
  <si>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</si>
  <si>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</si>
  <si>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</si>
  <si>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</si>
  <si>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</si>
  <si>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</si>
  <si>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</si>
  <si>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</si>
  <si>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</si>
  <si>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</si>
  <si>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</si>
  <si>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</si>
  <si>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</si>
  <si>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</si>
  <si>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</si>
  <si>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</si>
  <si>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</si>
  <si>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</si>
  <si>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</si>
  <si>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</si>
  <si>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</si>
  <si>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</si>
  <si>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</si>
  <si>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</si>
  <si>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</si>
  <si>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</si>
  <si>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</si>
  <si>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</si>
  <si>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</si>
  <si>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</si>
  <si>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</si>
  <si>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</si>
  <si>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</si>
  <si>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</si>
  <si>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</si>
  <si>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</si>
  <si>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</si>
  <si>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</si>
  <si>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</si>
  <si>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</si>
  <si>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</si>
  <si>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</si>
  <si>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</si>
  <si>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</si>
  <si>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</si>
  <si>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</si>
  <si>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朝央和煦</t>
    <phoneticPr fontId="226" type="noConversion"/>
  </si>
  <si>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</si>
  <si>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</si>
  <si>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</si>
  <si>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</si>
  <si>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</si>
  <si>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</si>
  <si>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</si>
  <si>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</si>
  <si>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</si>
  <si>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</si>
  <si>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</si>
  <si>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</si>
  <si>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</si>
  <si>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</si>
  <si>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</si>
  <si>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</si>
  <si>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</si>
  <si>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</si>
  <si>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</si>
  <si>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</si>
  <si>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</si>
  <si>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</si>
  <si>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</si>
  <si>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</si>
  <si>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</si>
  <si>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</si>
  <si>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</si>
  <si>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</si>
  <si>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</si>
  <si>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</si>
  <si>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</si>
  <si>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</si>
  <si>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</si>
  <si>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</si>
  <si>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</si>
  <si>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</si>
  <si>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</si>
  <si>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</si>
  <si>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</si>
  <si>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</si>
  <si>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</si>
  <si>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</si>
  <si>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</si>
  <si>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</si>
  <si>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</si>
  <si>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</si>
  <si>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</si>
  <si>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</si>
  <si>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</si>
  <si>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</si>
  <si>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</si>
  <si>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</si>
  <si>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</si>
  <si>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</si>
  <si>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</si>
  <si>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</si>
  <si>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</si>
  <si>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</si>
  <si>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</si>
  <si>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</si>
  <si>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</si>
  <si>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</si>
  <si>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</si>
  <si>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</si>
  <si>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</si>
  <si>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</si>
  <si>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</si>
  <si>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</si>
  <si>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</si>
  <si>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</si>
  <si>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</si>
  <si>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</si>
  <si>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</si>
  <si>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</si>
  <si>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4-1-502</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</si>
  <si>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</si>
  <si>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</si>
  <si>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</si>
  <si>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</si>
  <si>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</si>
  <si>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</si>
  <si>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</si>
  <si>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</si>
  <si>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</si>
  <si>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</si>
  <si>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</si>
  <si>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</si>
  <si>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</si>
  <si>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</si>
  <si>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</si>
  <si>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</si>
  <si>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</si>
  <si>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</si>
  <si>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</si>
  <si>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</si>
  <si>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</si>
  <si>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</si>
  <si>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</si>
  <si>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</si>
  <si>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</si>
  <si>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</si>
  <si>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</si>
  <si>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</si>
  <si>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</si>
  <si>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</si>
  <si>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</si>
  <si>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</si>
  <si>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</si>
  <si>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</si>
  <si>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</si>
  <si>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</si>
  <si>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4-2-601</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</si>
  <si>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</si>
  <si>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</si>
  <si>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</si>
  <si>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</si>
  <si>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</si>
  <si>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</si>
  <si>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</si>
  <si>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</si>
  <si>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</si>
  <si>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</si>
  <si>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</si>
  <si>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</si>
  <si>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</si>
  <si>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</si>
  <si>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</si>
  <si>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</si>
  <si>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</si>
  <si>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</si>
  <si>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</si>
  <si>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</si>
  <si>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</si>
  <si>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</si>
  <si>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</si>
  <si>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</si>
  <si>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</si>
  <si>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</si>
  <si>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</si>
  <si>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</si>
  <si>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</si>
  <si>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</si>
  <si>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</si>
  <si>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</si>
  <si>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</si>
  <si>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</si>
  <si>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</si>
  <si>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</si>
  <si>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</si>
  <si>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</si>
  <si>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</si>
  <si>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</si>
  <si>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</si>
  <si>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</si>
  <si>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</si>
  <si>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5-1-1302</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</si>
  <si>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</si>
  <si>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</si>
  <si>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</si>
  <si>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</si>
  <si>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</si>
  <si>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</si>
  <si>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</si>
  <si>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</si>
  <si>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</si>
  <si>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</si>
  <si>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</si>
  <si>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</si>
  <si>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</si>
  <si>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</si>
  <si>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</si>
  <si>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</si>
  <si>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</si>
  <si>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</si>
  <si>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</si>
  <si>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</si>
  <si>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</si>
  <si>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</si>
  <si>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</si>
  <si>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</si>
  <si>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5-2-1203</t>
  </si>
  <si>
    <t>5-2-1301</t>
  </si>
  <si>
    <t>5-2-1401</t>
  </si>
  <si>
    <t>5-2-1402</t>
  </si>
  <si>
    <t>5-2-1403</t>
  </si>
  <si>
    <t>5-2-1503</t>
  </si>
  <si>
    <t>5-2-1602</t>
  </si>
  <si>
    <t>5-2-1603</t>
  </si>
  <si>
    <t>5-2-1703</t>
  </si>
  <si>
    <t>5-2-1802</t>
  </si>
  <si>
    <t>5-2-1803</t>
  </si>
  <si>
    <r>
      <rPr>
        <sz val="10"/>
        <color theme="1"/>
        <rFont val="宋体"/>
        <family val="3"/>
        <charset val="134"/>
      </rPr>
      <t>住宅小计</t>
    </r>
    <phoneticPr fontId="226" type="noConversion"/>
  </si>
  <si>
    <t>——</t>
    <phoneticPr fontId="226" type="noConversion"/>
  </si>
  <si>
    <r>
      <rPr>
        <sz val="10"/>
        <color rgb="FF000000"/>
        <rFont val="宋体"/>
        <family val="3"/>
        <charset val="134"/>
      </rPr>
      <t>储藏间</t>
    </r>
  </si>
  <si>
    <t>储藏间</t>
  </si>
  <si>
    <t>仓储用房小计</t>
    <phoneticPr fontId="226" type="noConversion"/>
  </si>
  <si>
    <t>-2001</t>
  </si>
  <si>
    <t>普通车位</t>
  </si>
  <si>
    <t>-2002</t>
  </si>
  <si>
    <t>无障碍车位</t>
  </si>
  <si>
    <t>-2003</t>
  </si>
  <si>
    <t>微型车位</t>
  </si>
  <si>
    <t>-2004</t>
  </si>
  <si>
    <t>-2005</t>
  </si>
  <si>
    <t>——</t>
    <phoneticPr fontId="226" type="noConversion"/>
  </si>
  <si>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</si>
  <si>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</si>
  <si>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</si>
  <si>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</si>
  <si>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</si>
  <si>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</si>
  <si>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</si>
  <si>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</si>
  <si>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</si>
  <si>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</si>
  <si>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</si>
  <si>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</si>
  <si>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</si>
  <si>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</si>
  <si>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</si>
  <si>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</si>
  <si>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</si>
  <si>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</si>
  <si>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</si>
  <si>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</si>
  <si>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</si>
  <si>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</si>
  <si>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</si>
  <si>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</si>
  <si>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</si>
  <si>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</si>
  <si>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</si>
  <si>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</si>
  <si>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</si>
  <si>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</si>
  <si>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</si>
  <si>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</si>
  <si>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t>
    <phoneticPr fontId="226" type="noConversion"/>
  </si>
  <si>
    <t>-2039</t>
  </si>
  <si>
    <t>——</t>
    <phoneticPr fontId="226" type="noConversion"/>
  </si>
  <si>
    <t>-2040</t>
  </si>
  <si>
    <t>-2041</t>
  </si>
  <si>
    <t>-2042</t>
  </si>
  <si>
    <t>-2043</t>
  </si>
  <si>
    <t>-2044</t>
  </si>
  <si>
    <t>-2045</t>
  </si>
  <si>
    <t>-2046</t>
  </si>
  <si>
    <t>——</t>
    <phoneticPr fontId="226" type="noConversion"/>
  </si>
  <si>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</si>
  <si>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</si>
  <si>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</si>
  <si>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</si>
  <si>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</si>
  <si>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</si>
  <si>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</si>
  <si>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</si>
  <si>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</si>
  <si>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</si>
  <si>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</si>
  <si>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</si>
  <si>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</si>
  <si>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</si>
  <si>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</si>
  <si>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</si>
  <si>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</si>
  <si>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</si>
  <si>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</si>
  <si>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</si>
  <si>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</si>
  <si>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</si>
  <si>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</si>
  <si>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</si>
  <si>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</si>
  <si>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</si>
  <si>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</si>
  <si>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</si>
  <si>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</si>
  <si>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</si>
  <si>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</si>
  <si>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</si>
  <si>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</si>
  <si>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</si>
  <si>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</si>
  <si>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</si>
  <si>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</si>
  <si>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</si>
  <si>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</si>
  <si>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</si>
  <si>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</si>
  <si>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</si>
  <si>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</si>
  <si>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</si>
  <si>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</si>
  <si>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</si>
  <si>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</si>
  <si>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</si>
  <si>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</si>
  <si>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</si>
  <si>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</si>
  <si>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</si>
  <si>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</si>
  <si>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</si>
  <si>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</si>
  <si>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</si>
  <si>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</si>
  <si>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</si>
  <si>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</si>
  <si>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r>
      <t>-100</t>
    </r>
    <r>
      <rPr>
        <sz val="10"/>
        <rFont val="宋体"/>
        <family val="3"/>
        <charset val="134"/>
      </rPr>
      <t>3</t>
    </r>
  </si>
  <si>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</si>
  <si>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</si>
  <si>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</si>
  <si>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</si>
  <si>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</si>
  <si>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</si>
  <si>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</si>
  <si>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</si>
  <si>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</si>
  <si>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</si>
  <si>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</si>
  <si>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</si>
  <si>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</si>
  <si>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</si>
  <si>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</si>
  <si>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</si>
  <si>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</si>
  <si>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</si>
  <si>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</si>
  <si>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</si>
  <si>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</si>
  <si>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</si>
  <si>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</si>
  <si>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</si>
  <si>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</si>
  <si>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</si>
  <si>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</si>
  <si>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</si>
  <si>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</si>
  <si>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</si>
  <si>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</si>
  <si>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</si>
  <si>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</si>
  <si>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</si>
  <si>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</si>
  <si>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</si>
  <si>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</si>
  <si>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</si>
  <si>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</si>
  <si>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</si>
  <si>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</si>
  <si>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</si>
  <si>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</si>
  <si>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</si>
  <si>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</si>
  <si>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</si>
  <si>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</si>
  <si>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</si>
  <si>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</si>
  <si>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</si>
  <si>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</si>
  <si>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</si>
  <si>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</si>
  <si>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</si>
  <si>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</si>
  <si>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</si>
  <si>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</si>
  <si>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</si>
  <si>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</si>
  <si>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</si>
  <si>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</si>
  <si>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</si>
  <si>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</si>
  <si>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</si>
  <si>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</si>
  <si>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</si>
  <si>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</si>
  <si>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</si>
  <si>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</si>
  <si>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</si>
  <si>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</si>
  <si>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</si>
  <si>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</si>
  <si>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</si>
  <si>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</si>
  <si>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</si>
  <si>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</si>
  <si>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</si>
  <si>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</si>
  <si>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</si>
  <si>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</si>
  <si>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</si>
  <si>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</si>
  <si>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</si>
  <si>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</si>
  <si>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</si>
  <si>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</si>
  <si>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</si>
  <si>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</si>
  <si>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</si>
  <si>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</si>
  <si>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</si>
  <si>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</si>
  <si>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</si>
  <si>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</si>
  <si>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</si>
  <si>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</si>
  <si>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</si>
  <si>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</si>
  <si>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</si>
  <si>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</si>
  <si>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</si>
  <si>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</si>
  <si>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</si>
  <si>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</si>
  <si>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</si>
  <si>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</si>
  <si>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</si>
  <si>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</si>
  <si>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</si>
  <si>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r>
      <t>-111</t>
    </r>
    <r>
      <rPr>
        <sz val="10"/>
        <rFont val="宋体"/>
        <family val="3"/>
        <charset val="134"/>
      </rPr>
      <t>2</t>
    </r>
  </si>
  <si>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</si>
  <si>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</si>
  <si>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</si>
  <si>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</si>
  <si>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</si>
  <si>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</si>
  <si>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</si>
  <si>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</si>
  <si>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</si>
  <si>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</si>
  <si>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</si>
  <si>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</si>
  <si>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</si>
  <si>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</si>
  <si>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</si>
  <si>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</si>
  <si>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</si>
  <si>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</si>
  <si>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</si>
  <si>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</si>
  <si>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</si>
  <si>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</si>
  <si>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</si>
  <si>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</si>
  <si>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</si>
  <si>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</si>
  <si>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</si>
  <si>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</si>
  <si>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</si>
  <si>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</si>
  <si>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</si>
  <si>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</si>
  <si>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</si>
  <si>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</si>
  <si>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</si>
  <si>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</si>
  <si>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</si>
  <si>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</si>
  <si>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</si>
  <si>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</si>
  <si>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</si>
  <si>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</si>
  <si>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</si>
  <si>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</si>
  <si>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</si>
  <si>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</si>
  <si>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</si>
  <si>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</si>
  <si>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</si>
  <si>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</si>
  <si>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</si>
  <si>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</si>
  <si>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</si>
  <si>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</si>
  <si>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</si>
  <si>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r>
      <t>-116</t>
    </r>
    <r>
      <rPr>
        <sz val="10"/>
        <rFont val="宋体"/>
        <family val="3"/>
        <charset val="134"/>
      </rPr>
      <t>8</t>
    </r>
  </si>
  <si>
    <t>-1169</t>
  </si>
  <si>
    <t>-1170</t>
  </si>
  <si>
    <t>-1171</t>
  </si>
  <si>
    <t>-1172</t>
  </si>
  <si>
    <t>-1173</t>
  </si>
  <si>
    <t>-1174</t>
  </si>
  <si>
    <t>-1175</t>
  </si>
  <si>
    <t>-1176</t>
  </si>
  <si>
    <t>微型车位（充电桩车位）</t>
  </si>
  <si>
    <t>地下车库用房小计</t>
    <phoneticPr fontId="226" type="noConversion"/>
  </si>
  <si>
    <t>合计</t>
    <phoneticPr fontId="226" type="noConversion"/>
  </si>
  <si>
    <t>土地面积</t>
    <phoneticPr fontId="226" type="noConversion"/>
  </si>
  <si>
    <t>本次抵押面积</t>
    <phoneticPr fontId="226" type="noConversion"/>
  </si>
  <si>
    <t>本次分摊土地</t>
    <phoneticPr fontId="226" type="noConversion"/>
  </si>
  <si>
    <t>保利·锦上</t>
    <phoneticPr fontId="226" type="noConversion"/>
  </si>
  <si>
    <t>中粮天恒·天悦壹号</t>
    <phoneticPr fontId="226" type="noConversion"/>
  </si>
  <si>
    <t>地下车库</t>
  </si>
  <si>
    <t>地下车库</t>
    <phoneticPr fontId="226" type="noConversion"/>
  </si>
  <si>
    <t>地下仓储</t>
    <phoneticPr fontId="226" type="noConversion"/>
  </si>
  <si>
    <t>建发璟院</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</si>
  <si>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</si>
  <si>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</si>
  <si>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</si>
  <si>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</si>
  <si>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</si>
  <si>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</si>
  <si>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工程进度</t>
    <phoneticPr fontId="101" type="noConversion"/>
  </si>
  <si>
    <t>主体</t>
    <phoneticPr fontId="101" type="noConversion"/>
  </si>
  <si>
    <t>地上</t>
    <phoneticPr fontId="101" type="noConversion"/>
  </si>
  <si>
    <t>地下</t>
    <phoneticPr fontId="101" type="noConversion"/>
  </si>
  <si>
    <t>地上</t>
    <phoneticPr fontId="226" type="noConversion"/>
  </si>
  <si>
    <t>装修</t>
    <phoneticPr fontId="101" type="noConversion"/>
  </si>
  <si>
    <t>地下</t>
    <phoneticPr fontId="226"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</si>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</sst>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5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0" fontId="19" fillId="0" borderId="0" xfId="19" applyFont="1">
      <alignment vertical="center"/>
    </xf>
    <xf numFmtId="0" fontId="19" fillId="0" borderId="7" xfId="19" applyFont="1" applyBorder="1" applyAlignment="1">
      <alignment horizontal="center" vertical="center"/>
    </xf>
    <xf numFmtId="179" fontId="19" fillId="0" borderId="7" xfId="19" applyNumberFormat="1" applyFont="1" applyBorder="1" applyAlignment="1">
      <alignment horizontal="center" vertical="center"/>
    </xf>
    <xf numFmtId="1" fontId="93" fillId="0" borderId="176" xfId="19" applyNumberFormat="1" applyFont="1" applyFill="1" applyBorder="1" applyAlignment="1">
      <alignment horizontal="center" vertical="center" wrapText="1"/>
    </xf>
    <xf numFmtId="2" fontId="93" fillId="0" borderId="176" xfId="19" applyNumberFormat="1" applyFont="1" applyFill="1" applyBorder="1" applyAlignment="1">
      <alignment horizontal="center" vertical="center" wrapText="1"/>
    </xf>
    <xf numFmtId="1" fontId="97" fillId="0" borderId="176" xfId="19" applyNumberFormat="1" applyFont="1" applyFill="1" applyBorder="1" applyAlignment="1">
      <alignment horizontal="center" vertical="center" wrapText="1"/>
    </xf>
    <xf numFmtId="1" fontId="93" fillId="0" borderId="177" xfId="19" applyNumberFormat="1" applyFont="1" applyFill="1" applyBorder="1" applyAlignment="1">
      <alignment horizontal="center" vertical="center" wrapText="1"/>
    </xf>
    <xf numFmtId="1" fontId="93" fillId="0" borderId="178" xfId="19" applyNumberFormat="1" applyFont="1" applyFill="1" applyBorder="1" applyAlignment="1">
      <alignment horizontal="center" vertical="center" wrapText="1"/>
    </xf>
    <xf numFmtId="0" fontId="19" fillId="0" borderId="12" xfId="19" applyFont="1" applyBorder="1" applyAlignment="1">
      <alignment horizontal="center" vertical="center"/>
    </xf>
    <xf numFmtId="1" fontId="97" fillId="0" borderId="178" xfId="19" applyNumberFormat="1" applyFont="1" applyFill="1" applyBorder="1" applyAlignment="1">
      <alignment horizontal="center" vertical="center" wrapText="1"/>
    </xf>
    <xf numFmtId="2" fontId="93" fillId="0" borderId="178" xfId="19" applyNumberFormat="1" applyFont="1" applyFill="1" applyBorder="1" applyAlignment="1">
      <alignment horizontal="center" vertical="center" wrapText="1"/>
    </xf>
    <xf numFmtId="2" fontId="19" fillId="0" borderId="7" xfId="19" applyNumberFormat="1" applyFont="1" applyBorder="1" applyAlignment="1">
      <alignment horizontal="center" vertical="center"/>
    </xf>
    <xf numFmtId="2" fontId="93" fillId="0" borderId="7" xfId="19" applyNumberFormat="1" applyFont="1" applyFill="1" applyBorder="1" applyAlignment="1">
      <alignment horizontal="center" vertical="center" wrapText="1"/>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189"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8"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19" fillId="0" borderId="7" xfId="19" applyFont="1" applyBorder="1" applyAlignment="1">
      <alignment horizontal="center" vertical="center"/>
    </xf>
    <xf numFmtId="0" fontId="19" fillId="0" borderId="93" xfId="19" applyFont="1" applyBorder="1" applyAlignment="1">
      <alignment horizontal="center" vertical="center"/>
    </xf>
    <xf numFmtId="0" fontId="19" fillId="0" borderId="38" xfId="19" applyFont="1" applyBorder="1" applyAlignment="1">
      <alignment horizontal="center" vertical="center"/>
    </xf>
    <xf numFmtId="0" fontId="19" fillId="0" borderId="94" xfId="19" applyFont="1" applyBorder="1" applyAlignment="1">
      <alignment horizontal="center" vertical="center"/>
    </xf>
    <xf numFmtId="0" fontId="7" fillId="0" borderId="7" xfId="19" applyFont="1" applyBorder="1" applyAlignment="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105" fillId="0" borderId="7"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估价对象为北京市出让国有建设用地使用权及在建建筑物房地产，为所有。根据《国有土地使用证》[]，估价对象（分摊）出让国有建设用地使用权面积为7912.64平方米，建筑面积为29509.48平方米。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7912.64平方米，规划建筑面积为29509.48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108555</v>
      </c>
    </row>
    <row r="21" spans="1:2" s="3427" customFormat="1">
      <c r="A21" s="3435" t="s">
        <v>21</v>
      </c>
      <c r="B21" s="3436">
        <f ca="1">'预评函-2'!D7</f>
        <v>36786</v>
      </c>
    </row>
    <row r="22" spans="1:2" s="3427" customFormat="1">
      <c r="A22" s="3435" t="s">
        <v>22</v>
      </c>
      <c r="B22" s="3436" t="str">
        <f ca="1">'预评函-2'!D6</f>
        <v>壹拾亿捌仟伍佰伍拾伍万元整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108555</v>
      </c>
    </row>
    <row r="31" spans="1:2" s="3427" customFormat="1">
      <c r="A31" s="3435" t="s">
        <v>31</v>
      </c>
      <c r="B31" s="3436">
        <f ca="1">'预评函-2'!D15</f>
        <v>36786</v>
      </c>
    </row>
    <row r="32" spans="1:2" s="3427" customFormat="1">
      <c r="A32" s="3435" t="s">
        <v>32</v>
      </c>
      <c r="B32" s="3436" t="str">
        <f ca="1">'预评函-2'!D14</f>
        <v>壹拾亿捌仟伍佰伍拾伍万元整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29509.480000000025</v>
      </c>
    </row>
    <row r="44" spans="1:2" s="3427" customFormat="1">
      <c r="A44" s="3435" t="s">
        <v>44</v>
      </c>
      <c r="B44" s="3436" t="str">
        <f>'预评函-3'!C2</f>
        <v>(分摊)土地面积</v>
      </c>
    </row>
    <row r="45" spans="1:2" s="3427" customFormat="1">
      <c r="A45" s="3435" t="s">
        <v>45</v>
      </c>
      <c r="B45" s="3436">
        <f>'预评函-3'!C4</f>
        <v>7912.64</v>
      </c>
    </row>
    <row r="46" spans="1:2" s="3427" customFormat="1">
      <c r="A46" s="3435" t="s">
        <v>46</v>
      </c>
      <c r="B46" s="3436" t="str">
        <f>'预评函-3'!D2</f>
        <v>出让国有建设用地使用权价值</v>
      </c>
    </row>
    <row r="47" spans="1:2" s="3427" customFormat="1">
      <c r="A47" s="3435" t="s">
        <v>47</v>
      </c>
      <c r="B47" s="3436">
        <f ca="1">'预评函-3'!D4</f>
        <v>95203</v>
      </c>
    </row>
    <row r="48" spans="1:2" s="3427" customFormat="1">
      <c r="A48" s="3435" t="s">
        <v>48</v>
      </c>
      <c r="B48" s="3436">
        <f ca="1">'预评函-3'!E4</f>
        <v>32261</v>
      </c>
    </row>
    <row r="49" spans="1:2" s="3427" customFormat="1">
      <c r="A49" s="3435" t="s">
        <v>49</v>
      </c>
      <c r="B49" s="3436" t="str">
        <f ca="1">'预评函-3'!D5</f>
        <v>玖亿伍仟贰佰零叁万元整</v>
      </c>
    </row>
    <row r="50" spans="1:2" s="3427" customFormat="1">
      <c r="A50" s="3435" t="s">
        <v>50</v>
      </c>
      <c r="B50" s="3436" t="str">
        <f>'预评函-3'!F2</f>
        <v>在建建筑物价值</v>
      </c>
    </row>
    <row r="51" spans="1:2" s="3427" customFormat="1">
      <c r="A51" s="3435" t="s">
        <v>51</v>
      </c>
      <c r="B51" s="3436">
        <f ca="1">'预评函-3'!F4</f>
        <v>13352</v>
      </c>
    </row>
    <row r="52" spans="1:2" s="3427" customFormat="1">
      <c r="A52" s="3435" t="s">
        <v>52</v>
      </c>
      <c r="B52" s="3436">
        <f ca="1">'预评函-3'!G4</f>
        <v>4525</v>
      </c>
    </row>
    <row r="53" spans="1:2" s="3427" customFormat="1">
      <c r="A53" s="3435" t="s">
        <v>53</v>
      </c>
      <c r="B53" s="3436" t="str">
        <f ca="1">'预评函-3'!F5</f>
        <v>壹亿叁仟叁佰伍拾贰万元整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41"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3318" t="s">
        <v>330</v>
      </c>
      <c r="C54" s="3305" t="s">
        <v>331</v>
      </c>
    </row>
    <row r="55" spans="1:4">
      <c r="A55" s="3541"/>
      <c r="B55" s="3318" t="s">
        <v>332</v>
      </c>
      <c r="C55" s="3305" t="s">
        <v>333</v>
      </c>
    </row>
    <row r="56" spans="1:4">
      <c r="A56" s="3541"/>
      <c r="B56" s="3318" t="s">
        <v>334</v>
      </c>
      <c r="C56" s="3305" t="s">
        <v>335</v>
      </c>
    </row>
    <row r="57" spans="1:4">
      <c r="A57" s="3541"/>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42" t="s">
        <v>340</v>
      </c>
      <c r="J2" s="3542"/>
      <c r="K2" s="3542"/>
      <c r="L2" s="3542"/>
      <c r="M2" s="3542"/>
      <c r="N2" s="3542"/>
      <c r="O2" s="3542"/>
      <c r="P2" s="3542"/>
      <c r="Q2" s="3542"/>
      <c r="R2" s="3542"/>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5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57"/>
      <c r="D1" s="3557"/>
      <c r="E1" s="3557"/>
      <c r="F1" s="3557"/>
      <c r="G1" s="3557"/>
      <c r="H1" s="3557"/>
      <c r="I1" s="3558"/>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71" t="s">
        <v>434</v>
      </c>
      <c r="E8" s="3146" t="s">
        <v>330</v>
      </c>
      <c r="F8" s="3147"/>
      <c r="G8" s="3128"/>
      <c r="H8" s="3128"/>
      <c r="I8" s="3128"/>
      <c r="J8" s="2721"/>
      <c r="K8" s="3226"/>
      <c r="L8" s="3223"/>
      <c r="M8" s="3223"/>
      <c r="N8" s="2721"/>
      <c r="O8" s="3224"/>
      <c r="P8" s="2721"/>
      <c r="Q8" s="2721"/>
      <c r="R8" s="2721"/>
    </row>
    <row r="9" spans="1:30">
      <c r="A9" s="3148" t="s">
        <v>435</v>
      </c>
      <c r="B9" s="3149" t="s">
        <v>330</v>
      </c>
      <c r="C9" s="3150"/>
      <c r="D9" s="3572"/>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59"/>
      <c r="C16" s="3560"/>
      <c r="D16" s="3561"/>
      <c r="E16" s="3173" t="s">
        <v>454</v>
      </c>
      <c r="F16" s="3562"/>
      <c r="G16" s="3563"/>
      <c r="H16" s="3563"/>
      <c r="I16" s="3564"/>
      <c r="J16" s="2721"/>
      <c r="K16" s="3235"/>
      <c r="L16" s="3234"/>
      <c r="M16" s="3234"/>
      <c r="N16" s="2722"/>
      <c r="O16" s="3234"/>
      <c r="P16" s="2722"/>
      <c r="Q16" s="2721"/>
      <c r="R16" s="2721"/>
    </row>
    <row r="17" spans="1:28">
      <c r="A17" s="1333" t="s">
        <v>455</v>
      </c>
      <c r="B17" s="1321" t="s">
        <v>456</v>
      </c>
      <c r="C17" s="1785">
        <f>'数据-汇总表'!E3</f>
        <v>29509.480000000025</v>
      </c>
      <c r="D17" s="1379" t="s">
        <v>457</v>
      </c>
      <c r="E17" s="3565" t="s">
        <v>458</v>
      </c>
      <c r="F17" s="3566"/>
      <c r="G17" s="3566"/>
      <c r="H17" s="3566"/>
      <c r="I17" s="3567"/>
      <c r="J17" s="2721"/>
      <c r="K17" s="3236"/>
      <c r="L17" s="3234"/>
      <c r="M17" s="3234"/>
      <c r="N17" s="2722"/>
      <c r="O17" s="3234"/>
      <c r="P17" s="2722"/>
      <c r="Q17" s="2721"/>
      <c r="R17" s="2721"/>
      <c r="S17" s="2721"/>
      <c r="T17" s="2721"/>
      <c r="U17" s="2721"/>
      <c r="V17" s="2721"/>
    </row>
    <row r="18" spans="1:28" ht="24">
      <c r="A18" s="3174" t="s">
        <v>459</v>
      </c>
      <c r="B18" s="1345" t="s">
        <v>460</v>
      </c>
      <c r="C18" s="3175">
        <f>'数据-汇总表'!D3</f>
        <v>7912.64</v>
      </c>
      <c r="D18" s="1372" t="s">
        <v>457</v>
      </c>
      <c r="E18" s="3568" t="s">
        <v>461</v>
      </c>
      <c r="F18" s="3569"/>
      <c r="G18" s="3569"/>
      <c r="H18" s="3569"/>
      <c r="I18" s="3570"/>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45" t="s">
        <v>466</v>
      </c>
      <c r="C20" s="3546"/>
      <c r="D20" s="3547" t="s">
        <v>467</v>
      </c>
      <c r="E20" s="3548"/>
      <c r="F20" s="3182" t="s">
        <v>468</v>
      </c>
      <c r="G20" s="2848"/>
      <c r="H20" s="2848"/>
      <c r="I20" s="2848"/>
      <c r="J20" s="2721"/>
      <c r="K20" s="3543"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43"/>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43"/>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52"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52"/>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52"/>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53"/>
      <c r="B30" s="1321" t="s">
        <v>484</v>
      </c>
      <c r="C30" s="3549"/>
      <c r="D30" s="3550"/>
      <c r="E30" s="2848"/>
      <c r="F30" s="2848"/>
      <c r="G30" s="2848"/>
      <c r="H30" s="2848"/>
      <c r="I30" s="2848"/>
      <c r="J30" s="2721"/>
      <c r="K30" s="3225"/>
      <c r="L30" s="3223"/>
      <c r="M30" s="3223"/>
      <c r="N30" s="2721"/>
      <c r="O30" s="3224"/>
      <c r="P30" s="2721"/>
      <c r="Q30" s="2721"/>
      <c r="R30" s="2721"/>
      <c r="S30" s="2721"/>
      <c r="T30" s="2721"/>
      <c r="U30" s="2721"/>
      <c r="V30" s="2721"/>
    </row>
    <row r="31" spans="1:28">
      <c r="A31" s="3554"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55"/>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55"/>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44" t="s">
        <v>494</v>
      </c>
      <c r="T34" s="1366" t="str">
        <f>NUMBERSTRING(7-K34,1)&amp;"通"</f>
        <v>七通</v>
      </c>
      <c r="U34" s="2721"/>
      <c r="V34" s="2721"/>
    </row>
    <row r="35" spans="1:30">
      <c r="A35" s="3209"/>
      <c r="B35" s="3551" t="s">
        <v>495</v>
      </c>
      <c r="C35" s="3551"/>
      <c r="D35" s="3551"/>
      <c r="E35" s="3551"/>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44"/>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9" sqref="I39"/>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87">
        <f>测绘面积!B20</f>
        <v>7912.64</v>
      </c>
      <c r="B3" s="3033">
        <f>IF(C3="否",G5-AT5,G5)</f>
        <v>29509.480000000025</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29509.480000000025</v>
      </c>
      <c r="H5" s="3038">
        <f t="shared" ref="H5:AT5" si="0">SUM(H13:H656)</f>
        <v>29509.480000000025</v>
      </c>
      <c r="I5" s="3038">
        <f t="shared" si="0"/>
        <v>15813.740000000045</v>
      </c>
      <c r="J5" s="3038">
        <f t="shared" si="0"/>
        <v>0</v>
      </c>
      <c r="K5" s="3038">
        <f t="shared" si="0"/>
        <v>8764.4599999999809</v>
      </c>
      <c r="L5" s="3038">
        <f t="shared" si="0"/>
        <v>0</v>
      </c>
      <c r="M5" s="3038">
        <f t="shared" si="0"/>
        <v>4931.279999999997</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29509.480000000025</v>
      </c>
      <c r="BA5" s="3098">
        <f t="shared" si="1"/>
        <v>29509.480000000025</v>
      </c>
      <c r="BB5" s="3098">
        <f t="shared" si="1"/>
        <v>15813.740000000045</v>
      </c>
      <c r="BC5" s="3098">
        <f t="shared" si="1"/>
        <v>8764.4599999999809</v>
      </c>
      <c r="BD5" s="3098">
        <f t="shared" si="1"/>
        <v>4931.279999999997</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7912.6399999999994</v>
      </c>
      <c r="F6" s="3038" t="s">
        <v>124</v>
      </c>
      <c r="G6" s="3038" t="s">
        <v>124</v>
      </c>
      <c r="H6" s="3041">
        <f>SUMIF(I$12:AB$12,"总值",I6:AB6)</f>
        <v>7912.6399999999994</v>
      </c>
      <c r="I6" s="3038">
        <f t="shared" ref="I6:AB6" si="2">ROUND($A$3*I5/$B$3,2)</f>
        <v>4240.28</v>
      </c>
      <c r="J6" s="3038">
        <f t="shared" si="2"/>
        <v>0</v>
      </c>
      <c r="K6" s="3038">
        <f t="shared" si="2"/>
        <v>2350.09</v>
      </c>
      <c r="L6" s="3038">
        <f t="shared" si="2"/>
        <v>0</v>
      </c>
      <c r="M6" s="3038">
        <f t="shared" si="2"/>
        <v>1322.27</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7912.64</v>
      </c>
      <c r="AZ6" s="3038" t="s">
        <v>124</v>
      </c>
      <c r="BA6" s="3038">
        <f>ROUND($AY$6*BA5/$AZ$5,2)</f>
        <v>7912.64</v>
      </c>
      <c r="BB6" s="3038">
        <f>ROUND($AY$6*BB5/$AZ$5,2)</f>
        <v>4240.28</v>
      </c>
      <c r="BC6" s="3038">
        <f t="shared" ref="BC6:BH6" si="4">ROUND($AY$6*BC5/$AZ$5,2)</f>
        <v>2350.09</v>
      </c>
      <c r="BD6" s="3038">
        <f t="shared" si="4"/>
        <v>1322.27</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548</v>
      </c>
      <c r="L10" s="2277"/>
      <c r="M10" s="3066" t="s">
        <v>549</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车库</v>
      </c>
      <c r="BD11" s="3073" t="str">
        <f>M10</f>
        <v>仓储</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7912.64</v>
      </c>
      <c r="F13" s="3054"/>
      <c r="G13" s="3055">
        <f>H13+AC13+AT13</f>
        <v>29509.480000000025</v>
      </c>
      <c r="H13" s="3041">
        <f>SUMIF(I$12:AB$12,"总值",I13:AB13)</f>
        <v>29509.480000000025</v>
      </c>
      <c r="I13" s="3488">
        <f>未售清单!F164</f>
        <v>15813.740000000045</v>
      </c>
      <c r="J13" s="3488"/>
      <c r="K13" s="3488">
        <f>未售清单!F655</f>
        <v>8764.4599999999809</v>
      </c>
      <c r="L13" s="3488"/>
      <c r="M13" s="3488">
        <f>未售清单!F377</f>
        <v>4931.279999999997</v>
      </c>
      <c r="N13" s="3488"/>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7912.64</v>
      </c>
      <c r="AZ13" s="3038">
        <f>BA13+BL13</f>
        <v>29509.480000000025</v>
      </c>
      <c r="BA13" s="3038">
        <f>SUM(BB13:BK13)</f>
        <v>29509.480000000025</v>
      </c>
      <c r="BB13" s="3038">
        <f>IF($D13="是",I13-J13,0)</f>
        <v>15813.740000000045</v>
      </c>
      <c r="BC13" s="3038">
        <f>IF($D13="是",K13-L13,0)</f>
        <v>8764.4599999999809</v>
      </c>
      <c r="BD13" s="3038">
        <f>IF($D13="是",M13-N13,0)</f>
        <v>4931.279999999997</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88"/>
      <c r="J14" s="3488"/>
      <c r="K14" s="3488"/>
      <c r="L14" s="3488"/>
      <c r="M14" s="3488"/>
      <c r="N14" s="3488"/>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6"/>
  <sheetViews>
    <sheetView workbookViewId="0">
      <pane xSplit="1" ySplit="2" topLeftCell="B477" activePane="bottomRight" state="frozen"/>
      <selection pane="topRight" activeCell="B1" sqref="B1"/>
      <selection pane="bottomLeft" activeCell="A3" sqref="A3"/>
      <selection pane="bottomRight" activeCell="F163" sqref="F3:F163"/>
    </sheetView>
  </sheetViews>
  <sheetFormatPr defaultColWidth="9" defaultRowHeight="12.75"/>
  <cols>
    <col min="1" max="1" width="9" style="3473"/>
    <col min="2" max="2" width="6.125" style="3473" customWidth="1"/>
    <col min="3" max="3" width="7.25" style="3473" customWidth="1"/>
    <col min="4" max="4" width="11.875" style="3473" customWidth="1"/>
    <col min="5" max="5" width="20.125" style="3473" customWidth="1"/>
    <col min="6" max="6" width="16.625" style="3473" customWidth="1"/>
    <col min="7" max="16384" width="9" style="3473"/>
  </cols>
  <sheetData>
    <row r="1" spans="1:6" ht="23.1" customHeight="1">
      <c r="A1" s="3573" t="s">
        <v>3355</v>
      </c>
      <c r="B1" s="3573"/>
      <c r="C1" s="3573"/>
      <c r="D1" s="3573"/>
      <c r="E1" s="3573"/>
      <c r="F1" s="3573"/>
    </row>
    <row r="2" spans="1:6">
      <c r="A2" s="3474" t="s">
        <v>1440</v>
      </c>
      <c r="B2" s="3474" t="s">
        <v>3356</v>
      </c>
      <c r="C2" s="3474" t="s">
        <v>3357</v>
      </c>
      <c r="D2" s="3474" t="s">
        <v>3358</v>
      </c>
      <c r="E2" s="3474" t="s">
        <v>3359</v>
      </c>
      <c r="F2" s="3474" t="s">
        <v>3360</v>
      </c>
    </row>
    <row r="3" spans="1:6">
      <c r="A3" s="3474">
        <v>1</v>
      </c>
      <c r="B3" s="3474">
        <v>2</v>
      </c>
      <c r="C3" s="3474">
        <v>1</v>
      </c>
      <c r="D3" s="3474" t="s">
        <v>3361</v>
      </c>
      <c r="E3" s="3474" t="s">
        <v>3362</v>
      </c>
      <c r="F3" s="3475">
        <v>96.74</v>
      </c>
    </row>
    <row r="4" spans="1:6">
      <c r="A4" s="3474">
        <v>2</v>
      </c>
      <c r="B4" s="3474">
        <v>2</v>
      </c>
      <c r="C4" s="3474">
        <v>1</v>
      </c>
      <c r="D4" s="3474" t="s">
        <v>3363</v>
      </c>
      <c r="E4" s="3474" t="s">
        <v>3362</v>
      </c>
      <c r="F4" s="3475">
        <v>128.02000000000001</v>
      </c>
    </row>
    <row r="5" spans="1:6">
      <c r="A5" s="3474">
        <v>3</v>
      </c>
      <c r="B5" s="3474">
        <v>2</v>
      </c>
      <c r="C5" s="3474">
        <v>1</v>
      </c>
      <c r="D5" s="3474" t="s">
        <v>3364</v>
      </c>
      <c r="E5" s="3474" t="s">
        <v>3362</v>
      </c>
      <c r="F5" s="3475">
        <v>96.74</v>
      </c>
    </row>
    <row r="6" spans="1:6">
      <c r="A6" s="3474">
        <v>4</v>
      </c>
      <c r="B6" s="3474">
        <v>2</v>
      </c>
      <c r="C6" s="3474">
        <v>1</v>
      </c>
      <c r="D6" s="3474" t="s">
        <v>3365</v>
      </c>
      <c r="E6" s="3474" t="s">
        <v>3362</v>
      </c>
      <c r="F6" s="3475">
        <v>96.74</v>
      </c>
    </row>
    <row r="7" spans="1:6">
      <c r="A7" s="3474">
        <v>5</v>
      </c>
      <c r="B7" s="3474">
        <v>2</v>
      </c>
      <c r="C7" s="3474">
        <v>1</v>
      </c>
      <c r="D7" s="3474" t="s">
        <v>3366</v>
      </c>
      <c r="E7" s="3474" t="s">
        <v>3362</v>
      </c>
      <c r="F7" s="3475">
        <v>128.02000000000001</v>
      </c>
    </row>
    <row r="8" spans="1:6">
      <c r="A8" s="3474">
        <v>6</v>
      </c>
      <c r="B8" s="3474">
        <v>2</v>
      </c>
      <c r="C8" s="3474">
        <v>1</v>
      </c>
      <c r="D8" s="3474" t="s">
        <v>3367</v>
      </c>
      <c r="E8" s="3474" t="s">
        <v>3362</v>
      </c>
      <c r="F8" s="3475">
        <v>128.02000000000001</v>
      </c>
    </row>
    <row r="9" spans="1:6">
      <c r="A9" s="3474">
        <v>7</v>
      </c>
      <c r="B9" s="3474">
        <v>2</v>
      </c>
      <c r="C9" s="3474">
        <v>1</v>
      </c>
      <c r="D9" s="3474" t="s">
        <v>3368</v>
      </c>
      <c r="E9" s="3474" t="s">
        <v>3362</v>
      </c>
      <c r="F9" s="3475">
        <v>128.02000000000001</v>
      </c>
    </row>
    <row r="10" spans="1:6">
      <c r="A10" s="3474">
        <v>8</v>
      </c>
      <c r="B10" s="3474">
        <v>2</v>
      </c>
      <c r="C10" s="3474">
        <v>1</v>
      </c>
      <c r="D10" s="3474" t="s">
        <v>3369</v>
      </c>
      <c r="E10" s="3474" t="s">
        <v>3362</v>
      </c>
      <c r="F10" s="3475">
        <v>128.02000000000001</v>
      </c>
    </row>
    <row r="11" spans="1:6">
      <c r="A11" s="3474">
        <v>9</v>
      </c>
      <c r="B11" s="3474">
        <v>2</v>
      </c>
      <c r="C11" s="3474">
        <v>1</v>
      </c>
      <c r="D11" s="3474" t="s">
        <v>3370</v>
      </c>
      <c r="E11" s="3474" t="s">
        <v>3362</v>
      </c>
      <c r="F11" s="3475">
        <v>128.02000000000001</v>
      </c>
    </row>
    <row r="12" spans="1:6">
      <c r="A12" s="3474">
        <v>10</v>
      </c>
      <c r="B12" s="3474">
        <v>2</v>
      </c>
      <c r="C12" s="3474">
        <v>1</v>
      </c>
      <c r="D12" s="3474" t="s">
        <v>3371</v>
      </c>
      <c r="E12" s="3474" t="s">
        <v>3362</v>
      </c>
      <c r="F12" s="3475">
        <v>128.02000000000001</v>
      </c>
    </row>
    <row r="13" spans="1:6">
      <c r="A13" s="3474">
        <v>11</v>
      </c>
      <c r="B13" s="3474">
        <v>2</v>
      </c>
      <c r="C13" s="3474">
        <v>1</v>
      </c>
      <c r="D13" s="3474" t="s">
        <v>3372</v>
      </c>
      <c r="E13" s="3474" t="s">
        <v>3362</v>
      </c>
      <c r="F13" s="3475">
        <v>96.74</v>
      </c>
    </row>
    <row r="14" spans="1:6">
      <c r="A14" s="3474">
        <v>12</v>
      </c>
      <c r="B14" s="3474">
        <v>2</v>
      </c>
      <c r="C14" s="3474">
        <v>1</v>
      </c>
      <c r="D14" s="3474" t="s">
        <v>3373</v>
      </c>
      <c r="E14" s="3474" t="s">
        <v>3362</v>
      </c>
      <c r="F14" s="3475">
        <v>128.02000000000001</v>
      </c>
    </row>
    <row r="15" spans="1:6">
      <c r="A15" s="3474">
        <v>13</v>
      </c>
      <c r="B15" s="3474">
        <v>2</v>
      </c>
      <c r="C15" s="3474">
        <v>1</v>
      </c>
      <c r="D15" s="3474" t="s">
        <v>3374</v>
      </c>
      <c r="E15" s="3474" t="s">
        <v>3362</v>
      </c>
      <c r="F15" s="3475">
        <v>76.3</v>
      </c>
    </row>
    <row r="16" spans="1:6">
      <c r="A16" s="3474">
        <v>14</v>
      </c>
      <c r="B16" s="3474">
        <v>2</v>
      </c>
      <c r="C16" s="3474">
        <v>1</v>
      </c>
      <c r="D16" s="3474" t="s">
        <v>3375</v>
      </c>
      <c r="E16" s="3474" t="s">
        <v>3362</v>
      </c>
      <c r="F16" s="3475">
        <v>96.13</v>
      </c>
    </row>
    <row r="17" spans="1:6">
      <c r="A17" s="3474">
        <v>15</v>
      </c>
      <c r="B17" s="3474">
        <v>2</v>
      </c>
      <c r="C17" s="3474">
        <v>2</v>
      </c>
      <c r="D17" s="3474" t="s">
        <v>3376</v>
      </c>
      <c r="E17" s="3474" t="s">
        <v>3362</v>
      </c>
      <c r="F17" s="3475">
        <v>129.78</v>
      </c>
    </row>
    <row r="18" spans="1:6">
      <c r="A18" s="3474">
        <v>16</v>
      </c>
      <c r="B18" s="3474">
        <v>2</v>
      </c>
      <c r="C18" s="3474">
        <v>2</v>
      </c>
      <c r="D18" s="3474" t="s">
        <v>3377</v>
      </c>
      <c r="E18" s="3474" t="s">
        <v>3362</v>
      </c>
      <c r="F18" s="3475">
        <v>132.19999999999999</v>
      </c>
    </row>
    <row r="19" spans="1:6">
      <c r="A19" s="3474">
        <v>17</v>
      </c>
      <c r="B19" s="3474">
        <v>2</v>
      </c>
      <c r="C19" s="3474">
        <v>2</v>
      </c>
      <c r="D19" s="3474" t="s">
        <v>3378</v>
      </c>
      <c r="E19" s="3474" t="s">
        <v>3362</v>
      </c>
      <c r="F19" s="3475">
        <v>132.19999999999999</v>
      </c>
    </row>
    <row r="20" spans="1:6">
      <c r="A20" s="3474">
        <v>18</v>
      </c>
      <c r="B20" s="3474">
        <v>2</v>
      </c>
      <c r="C20" s="3474">
        <v>2</v>
      </c>
      <c r="D20" s="3474" t="s">
        <v>3379</v>
      </c>
      <c r="E20" s="3474" t="s">
        <v>3362</v>
      </c>
      <c r="F20" s="3475">
        <v>132.19999999999999</v>
      </c>
    </row>
    <row r="21" spans="1:6">
      <c r="A21" s="3474">
        <v>19</v>
      </c>
      <c r="B21" s="3474">
        <v>2</v>
      </c>
      <c r="C21" s="3474">
        <v>2</v>
      </c>
      <c r="D21" s="3474" t="s">
        <v>3380</v>
      </c>
      <c r="E21" s="3474" t="s">
        <v>3362</v>
      </c>
      <c r="F21" s="3475">
        <v>129.78</v>
      </c>
    </row>
    <row r="22" spans="1:6">
      <c r="A22" s="3474">
        <v>20</v>
      </c>
      <c r="B22" s="3474">
        <v>2</v>
      </c>
      <c r="C22" s="3474">
        <v>2</v>
      </c>
      <c r="D22" s="3474" t="s">
        <v>3381</v>
      </c>
      <c r="E22" s="3474" t="s">
        <v>3362</v>
      </c>
      <c r="F22" s="3475">
        <v>132.19999999999999</v>
      </c>
    </row>
    <row r="23" spans="1:6">
      <c r="A23" s="3474">
        <v>21</v>
      </c>
      <c r="B23" s="3474">
        <v>2</v>
      </c>
      <c r="C23" s="3474">
        <v>2</v>
      </c>
      <c r="D23" s="3474" t="s">
        <v>3382</v>
      </c>
      <c r="E23" s="3474" t="s">
        <v>3362</v>
      </c>
      <c r="F23" s="3475">
        <v>132.19999999999999</v>
      </c>
    </row>
    <row r="24" spans="1:6">
      <c r="A24" s="3474">
        <v>22</v>
      </c>
      <c r="B24" s="3474">
        <v>2</v>
      </c>
      <c r="C24" s="3474">
        <v>2</v>
      </c>
      <c r="D24" s="3474" t="s">
        <v>3383</v>
      </c>
      <c r="E24" s="3474" t="s">
        <v>3362</v>
      </c>
      <c r="F24" s="3475">
        <v>132.19999999999999</v>
      </c>
    </row>
    <row r="25" spans="1:6">
      <c r="A25" s="3474">
        <v>23</v>
      </c>
      <c r="B25" s="3474">
        <v>2</v>
      </c>
      <c r="C25" s="3474">
        <v>2</v>
      </c>
      <c r="D25" s="3474" t="s">
        <v>3384</v>
      </c>
      <c r="E25" s="3474" t="s">
        <v>3362</v>
      </c>
      <c r="F25" s="3475">
        <v>129.78</v>
      </c>
    </row>
    <row r="26" spans="1:6">
      <c r="A26" s="3474">
        <v>24</v>
      </c>
      <c r="B26" s="3474">
        <v>2</v>
      </c>
      <c r="C26" s="3474">
        <v>2</v>
      </c>
      <c r="D26" s="3474" t="s">
        <v>3385</v>
      </c>
      <c r="E26" s="3474" t="s">
        <v>3362</v>
      </c>
      <c r="F26" s="3475">
        <v>132.19999999999999</v>
      </c>
    </row>
    <row r="27" spans="1:6">
      <c r="A27" s="3474">
        <v>25</v>
      </c>
      <c r="B27" s="3474">
        <v>2</v>
      </c>
      <c r="C27" s="3474">
        <v>2</v>
      </c>
      <c r="D27" s="3474" t="s">
        <v>3386</v>
      </c>
      <c r="E27" s="3474" t="s">
        <v>3362</v>
      </c>
      <c r="F27" s="3475">
        <v>132.19999999999999</v>
      </c>
    </row>
    <row r="28" spans="1:6">
      <c r="A28" s="3474">
        <v>26</v>
      </c>
      <c r="B28" s="3474">
        <v>2</v>
      </c>
      <c r="C28" s="3474">
        <v>2</v>
      </c>
      <c r="D28" s="3474" t="s">
        <v>3387</v>
      </c>
      <c r="E28" s="3474" t="s">
        <v>3362</v>
      </c>
      <c r="F28" s="3475">
        <v>129.78</v>
      </c>
    </row>
    <row r="29" spans="1:6">
      <c r="A29" s="3474">
        <v>27</v>
      </c>
      <c r="B29" s="3474">
        <v>2</v>
      </c>
      <c r="C29" s="3474">
        <v>2</v>
      </c>
      <c r="D29" s="3474" t="s">
        <v>3388</v>
      </c>
      <c r="E29" s="3474" t="s">
        <v>3362</v>
      </c>
      <c r="F29" s="3475">
        <v>132.19999999999999</v>
      </c>
    </row>
    <row r="30" spans="1:6">
      <c r="A30" s="3474">
        <v>28</v>
      </c>
      <c r="B30" s="3474">
        <v>2</v>
      </c>
      <c r="C30" s="3474">
        <v>2</v>
      </c>
      <c r="D30" s="3474" t="s">
        <v>3389</v>
      </c>
      <c r="E30" s="3474" t="s">
        <v>3362</v>
      </c>
      <c r="F30" s="3475">
        <v>129.78</v>
      </c>
    </row>
    <row r="31" spans="1:6">
      <c r="A31" s="3474">
        <v>29</v>
      </c>
      <c r="B31" s="3474">
        <v>2</v>
      </c>
      <c r="C31" s="3474">
        <v>2</v>
      </c>
      <c r="D31" s="3474" t="s">
        <v>3390</v>
      </c>
      <c r="E31" s="3474" t="s">
        <v>3362</v>
      </c>
      <c r="F31" s="3475">
        <v>132.19999999999999</v>
      </c>
    </row>
    <row r="32" spans="1:6">
      <c r="A32" s="3474">
        <v>30</v>
      </c>
      <c r="B32" s="3474">
        <v>2</v>
      </c>
      <c r="C32" s="3474">
        <v>2</v>
      </c>
      <c r="D32" s="3474" t="s">
        <v>3391</v>
      </c>
      <c r="E32" s="3474" t="s">
        <v>3362</v>
      </c>
      <c r="F32" s="3475">
        <v>129.78</v>
      </c>
    </row>
    <row r="33" spans="1:6">
      <c r="A33" s="3474">
        <v>31</v>
      </c>
      <c r="B33" s="3474">
        <v>2</v>
      </c>
      <c r="C33" s="3474">
        <v>2</v>
      </c>
      <c r="D33" s="3474" t="s">
        <v>3392</v>
      </c>
      <c r="E33" s="3474" t="s">
        <v>3362</v>
      </c>
      <c r="F33" s="3475">
        <v>132.19999999999999</v>
      </c>
    </row>
    <row r="34" spans="1:6">
      <c r="A34" s="3474">
        <v>32</v>
      </c>
      <c r="B34" s="3474">
        <v>2</v>
      </c>
      <c r="C34" s="3474">
        <v>2</v>
      </c>
      <c r="D34" s="3474" t="s">
        <v>3393</v>
      </c>
      <c r="E34" s="3474" t="s">
        <v>3362</v>
      </c>
      <c r="F34" s="3475">
        <v>129.78</v>
      </c>
    </row>
    <row r="35" spans="1:6">
      <c r="A35" s="3474">
        <v>33</v>
      </c>
      <c r="B35" s="3474">
        <v>2</v>
      </c>
      <c r="C35" s="3474">
        <v>2</v>
      </c>
      <c r="D35" s="3474" t="s">
        <v>3394</v>
      </c>
      <c r="E35" s="3474" t="s">
        <v>3362</v>
      </c>
      <c r="F35" s="3475">
        <v>132.19999999999999</v>
      </c>
    </row>
    <row r="36" spans="1:6">
      <c r="A36" s="3474">
        <v>34</v>
      </c>
      <c r="B36" s="3474">
        <v>2</v>
      </c>
      <c r="C36" s="3474">
        <v>2</v>
      </c>
      <c r="D36" s="3474" t="s">
        <v>3395</v>
      </c>
      <c r="E36" s="3474" t="s">
        <v>3362</v>
      </c>
      <c r="F36" s="3475">
        <v>129.78</v>
      </c>
    </row>
    <row r="37" spans="1:6">
      <c r="A37" s="3474">
        <v>35</v>
      </c>
      <c r="B37" s="3474">
        <v>2</v>
      </c>
      <c r="C37" s="3474">
        <v>2</v>
      </c>
      <c r="D37" s="3474" t="s">
        <v>3396</v>
      </c>
      <c r="E37" s="3474" t="s">
        <v>3362</v>
      </c>
      <c r="F37" s="3475">
        <v>95.24</v>
      </c>
    </row>
    <row r="38" spans="1:6">
      <c r="A38" s="3474">
        <v>36</v>
      </c>
      <c r="B38" s="3474">
        <v>2</v>
      </c>
      <c r="C38" s="3474">
        <v>2</v>
      </c>
      <c r="D38" s="3474" t="s">
        <v>3397</v>
      </c>
      <c r="E38" s="3474" t="s">
        <v>3362</v>
      </c>
      <c r="F38" s="3475">
        <v>95.67</v>
      </c>
    </row>
    <row r="39" spans="1:6">
      <c r="A39" s="3474">
        <v>37</v>
      </c>
      <c r="B39" s="3474">
        <v>4</v>
      </c>
      <c r="C39" s="3474">
        <v>1</v>
      </c>
      <c r="D39" s="3474" t="s">
        <v>3398</v>
      </c>
      <c r="E39" s="3474" t="s">
        <v>3362</v>
      </c>
      <c r="F39" s="3475">
        <v>97</v>
      </c>
    </row>
    <row r="40" spans="1:6">
      <c r="A40" s="3474">
        <v>38</v>
      </c>
      <c r="B40" s="3474">
        <v>4</v>
      </c>
      <c r="C40" s="3474">
        <v>1</v>
      </c>
      <c r="D40" s="3474" t="s">
        <v>3399</v>
      </c>
      <c r="E40" s="3474" t="s">
        <v>3362</v>
      </c>
      <c r="F40" s="3475">
        <v>77.67</v>
      </c>
    </row>
    <row r="41" spans="1:6">
      <c r="A41" s="3474">
        <v>39</v>
      </c>
      <c r="B41" s="3474">
        <v>4</v>
      </c>
      <c r="C41" s="3474">
        <v>1</v>
      </c>
      <c r="D41" s="3474" t="s">
        <v>3400</v>
      </c>
      <c r="E41" s="3474" t="s">
        <v>3362</v>
      </c>
      <c r="F41" s="3475">
        <v>86.67</v>
      </c>
    </row>
    <row r="42" spans="1:6">
      <c r="A42" s="3474">
        <v>40</v>
      </c>
      <c r="B42" s="3474">
        <v>4</v>
      </c>
      <c r="C42" s="3474">
        <v>1</v>
      </c>
      <c r="D42" s="3474" t="s">
        <v>3401</v>
      </c>
      <c r="E42" s="3474" t="s">
        <v>3362</v>
      </c>
      <c r="F42" s="3475">
        <v>97</v>
      </c>
    </row>
    <row r="43" spans="1:6">
      <c r="A43" s="3474">
        <v>41</v>
      </c>
      <c r="B43" s="3474">
        <v>4</v>
      </c>
      <c r="C43" s="3474">
        <v>1</v>
      </c>
      <c r="D43" s="3474" t="s">
        <v>3402</v>
      </c>
      <c r="E43" s="3474" t="s">
        <v>3362</v>
      </c>
      <c r="F43" s="3475">
        <v>96.26</v>
      </c>
    </row>
    <row r="44" spans="1:6">
      <c r="A44" s="3474">
        <v>42</v>
      </c>
      <c r="B44" s="3474">
        <v>4</v>
      </c>
      <c r="C44" s="3474">
        <v>1</v>
      </c>
      <c r="D44" s="3474" t="s">
        <v>3403</v>
      </c>
      <c r="E44" s="3474" t="s">
        <v>3362</v>
      </c>
      <c r="F44" s="3475">
        <v>77.790000000000006</v>
      </c>
    </row>
    <row r="45" spans="1:6">
      <c r="A45" s="3474">
        <v>43</v>
      </c>
      <c r="B45" s="3474">
        <v>4</v>
      </c>
      <c r="C45" s="3474">
        <v>1</v>
      </c>
      <c r="D45" s="3474" t="s">
        <v>3404</v>
      </c>
      <c r="E45" s="3474" t="s">
        <v>3362</v>
      </c>
      <c r="F45" s="3475">
        <v>96.26</v>
      </c>
    </row>
    <row r="46" spans="1:6">
      <c r="A46" s="3474">
        <v>44</v>
      </c>
      <c r="B46" s="3474">
        <v>4</v>
      </c>
      <c r="C46" s="3474">
        <v>1</v>
      </c>
      <c r="D46" s="3474" t="s">
        <v>3405</v>
      </c>
      <c r="E46" s="3474" t="s">
        <v>3362</v>
      </c>
      <c r="F46" s="3475">
        <v>96.26</v>
      </c>
    </row>
    <row r="47" spans="1:6">
      <c r="A47" s="3474">
        <v>45</v>
      </c>
      <c r="B47" s="3474">
        <v>4</v>
      </c>
      <c r="C47" s="3474">
        <v>1</v>
      </c>
      <c r="D47" s="3474" t="s">
        <v>3406</v>
      </c>
      <c r="E47" s="3474" t="s">
        <v>3362</v>
      </c>
      <c r="F47" s="3475">
        <v>77.790000000000006</v>
      </c>
    </row>
    <row r="48" spans="1:6">
      <c r="A48" s="3474">
        <v>46</v>
      </c>
      <c r="B48" s="3474">
        <v>4</v>
      </c>
      <c r="C48" s="3474">
        <v>1</v>
      </c>
      <c r="D48" s="3474" t="s">
        <v>3407</v>
      </c>
      <c r="E48" s="3474" t="s">
        <v>3362</v>
      </c>
      <c r="F48" s="3475">
        <v>96.26</v>
      </c>
    </row>
    <row r="49" spans="1:6">
      <c r="A49" s="3474">
        <v>47</v>
      </c>
      <c r="B49" s="3474">
        <v>4</v>
      </c>
      <c r="C49" s="3474">
        <v>1</v>
      </c>
      <c r="D49" s="3474" t="s">
        <v>3408</v>
      </c>
      <c r="E49" s="3474" t="s">
        <v>3362</v>
      </c>
      <c r="F49" s="3475">
        <v>96.95</v>
      </c>
    </row>
    <row r="50" spans="1:6">
      <c r="A50" s="3474">
        <v>48</v>
      </c>
      <c r="B50" s="3474">
        <v>4</v>
      </c>
      <c r="C50" s="3474">
        <v>1</v>
      </c>
      <c r="D50" s="3474" t="s">
        <v>3409</v>
      </c>
      <c r="E50" s="3474" t="s">
        <v>3362</v>
      </c>
      <c r="F50" s="3475">
        <v>96.26</v>
      </c>
    </row>
    <row r="51" spans="1:6">
      <c r="A51" s="3474">
        <v>49</v>
      </c>
      <c r="B51" s="3474">
        <v>4</v>
      </c>
      <c r="C51" s="3474">
        <v>1</v>
      </c>
      <c r="D51" s="3474" t="s">
        <v>3410</v>
      </c>
      <c r="E51" s="3474" t="s">
        <v>3362</v>
      </c>
      <c r="F51" s="3475">
        <v>96.26</v>
      </c>
    </row>
    <row r="52" spans="1:6">
      <c r="A52" s="3474">
        <v>50</v>
      </c>
      <c r="B52" s="3474">
        <v>4</v>
      </c>
      <c r="C52" s="3474">
        <v>1</v>
      </c>
      <c r="D52" s="3474" t="s">
        <v>3411</v>
      </c>
      <c r="E52" s="3474" t="s">
        <v>3362</v>
      </c>
      <c r="F52" s="3475">
        <v>96.26</v>
      </c>
    </row>
    <row r="53" spans="1:6">
      <c r="A53" s="3474">
        <v>51</v>
      </c>
      <c r="B53" s="3474">
        <v>4</v>
      </c>
      <c r="C53" s="3474">
        <v>1</v>
      </c>
      <c r="D53" s="3474" t="s">
        <v>3412</v>
      </c>
      <c r="E53" s="3474" t="s">
        <v>3362</v>
      </c>
      <c r="F53" s="3475">
        <v>96.95</v>
      </c>
    </row>
    <row r="54" spans="1:6">
      <c r="A54" s="3474">
        <v>52</v>
      </c>
      <c r="B54" s="3474">
        <v>4</v>
      </c>
      <c r="C54" s="3474">
        <v>1</v>
      </c>
      <c r="D54" s="3474" t="s">
        <v>3413</v>
      </c>
      <c r="E54" s="3474" t="s">
        <v>3362</v>
      </c>
      <c r="F54" s="3475">
        <v>96.26</v>
      </c>
    </row>
    <row r="55" spans="1:6">
      <c r="A55" s="3474">
        <v>53</v>
      </c>
      <c r="B55" s="3474">
        <v>4</v>
      </c>
      <c r="C55" s="3474">
        <v>1</v>
      </c>
      <c r="D55" s="3474" t="s">
        <v>3414</v>
      </c>
      <c r="E55" s="3474" t="s">
        <v>3362</v>
      </c>
      <c r="F55" s="3475">
        <v>96.26</v>
      </c>
    </row>
    <row r="56" spans="1:6">
      <c r="A56" s="3474">
        <v>54</v>
      </c>
      <c r="B56" s="3474">
        <v>4</v>
      </c>
      <c r="C56" s="3474">
        <v>1</v>
      </c>
      <c r="D56" s="3474" t="s">
        <v>3415</v>
      </c>
      <c r="E56" s="3474" t="s">
        <v>3362</v>
      </c>
      <c r="F56" s="3475">
        <v>96.95</v>
      </c>
    </row>
    <row r="57" spans="1:6">
      <c r="A57" s="3474">
        <v>55</v>
      </c>
      <c r="B57" s="3474">
        <v>4</v>
      </c>
      <c r="C57" s="3474">
        <v>1</v>
      </c>
      <c r="D57" s="3474" t="s">
        <v>3416</v>
      </c>
      <c r="E57" s="3474" t="s">
        <v>3362</v>
      </c>
      <c r="F57" s="3475">
        <v>96.26</v>
      </c>
    </row>
    <row r="58" spans="1:6">
      <c r="A58" s="3474">
        <v>56</v>
      </c>
      <c r="B58" s="3474">
        <v>4</v>
      </c>
      <c r="C58" s="3474">
        <v>1</v>
      </c>
      <c r="D58" s="3474" t="s">
        <v>3417</v>
      </c>
      <c r="E58" s="3474" t="s">
        <v>3362</v>
      </c>
      <c r="F58" s="3475">
        <v>96.26</v>
      </c>
    </row>
    <row r="59" spans="1:6">
      <c r="A59" s="3474">
        <v>57</v>
      </c>
      <c r="B59" s="3474">
        <v>4</v>
      </c>
      <c r="C59" s="3474">
        <v>1</v>
      </c>
      <c r="D59" s="3474" t="s">
        <v>3418</v>
      </c>
      <c r="E59" s="3474" t="s">
        <v>3362</v>
      </c>
      <c r="F59" s="3475">
        <v>77.790000000000006</v>
      </c>
    </row>
    <row r="60" spans="1:6">
      <c r="A60" s="3474">
        <v>58</v>
      </c>
      <c r="B60" s="3474">
        <v>4</v>
      </c>
      <c r="C60" s="3474">
        <v>1</v>
      </c>
      <c r="D60" s="3474" t="s">
        <v>3419</v>
      </c>
      <c r="E60" s="3474" t="s">
        <v>3362</v>
      </c>
      <c r="F60" s="3475">
        <v>96.26</v>
      </c>
    </row>
    <row r="61" spans="1:6">
      <c r="A61" s="3474">
        <v>59</v>
      </c>
      <c r="B61" s="3474">
        <v>4</v>
      </c>
      <c r="C61" s="3474">
        <v>1</v>
      </c>
      <c r="D61" s="3474" t="s">
        <v>3420</v>
      </c>
      <c r="E61" s="3474" t="s">
        <v>3362</v>
      </c>
      <c r="F61" s="3475">
        <v>96.26</v>
      </c>
    </row>
    <row r="62" spans="1:6">
      <c r="A62" s="3474">
        <v>60</v>
      </c>
      <c r="B62" s="3474">
        <v>4</v>
      </c>
      <c r="C62" s="3474">
        <v>1</v>
      </c>
      <c r="D62" s="3474" t="s">
        <v>3421</v>
      </c>
      <c r="E62" s="3474" t="s">
        <v>3362</v>
      </c>
      <c r="F62" s="3475">
        <v>96.26</v>
      </c>
    </row>
    <row r="63" spans="1:6">
      <c r="A63" s="3474">
        <v>61</v>
      </c>
      <c r="B63" s="3474">
        <v>4</v>
      </c>
      <c r="C63" s="3474">
        <v>1</v>
      </c>
      <c r="D63" s="3474" t="s">
        <v>3422</v>
      </c>
      <c r="E63" s="3474" t="s">
        <v>3362</v>
      </c>
      <c r="F63" s="3475">
        <v>96.95</v>
      </c>
    </row>
    <row r="64" spans="1:6">
      <c r="A64" s="3474">
        <v>62</v>
      </c>
      <c r="B64" s="3474">
        <v>4</v>
      </c>
      <c r="C64" s="3474">
        <v>1</v>
      </c>
      <c r="D64" s="3474" t="s">
        <v>3423</v>
      </c>
      <c r="E64" s="3474" t="s">
        <v>3362</v>
      </c>
      <c r="F64" s="3475">
        <v>77.790000000000006</v>
      </c>
    </row>
    <row r="65" spans="1:6">
      <c r="A65" s="3474">
        <v>63</v>
      </c>
      <c r="B65" s="3474">
        <v>4</v>
      </c>
      <c r="C65" s="3474">
        <v>1</v>
      </c>
      <c r="D65" s="3474" t="s">
        <v>3424</v>
      </c>
      <c r="E65" s="3474" t="s">
        <v>3362</v>
      </c>
      <c r="F65" s="3475">
        <v>96.26</v>
      </c>
    </row>
    <row r="66" spans="1:6">
      <c r="A66" s="3474">
        <v>64</v>
      </c>
      <c r="B66" s="3474">
        <v>4</v>
      </c>
      <c r="C66" s="3474">
        <v>1</v>
      </c>
      <c r="D66" s="3474" t="s">
        <v>3425</v>
      </c>
      <c r="E66" s="3474" t="s">
        <v>3362</v>
      </c>
      <c r="F66" s="3475">
        <v>96.95</v>
      </c>
    </row>
    <row r="67" spans="1:6">
      <c r="A67" s="3474">
        <v>65</v>
      </c>
      <c r="B67" s="3474">
        <v>4</v>
      </c>
      <c r="C67" s="3474">
        <v>1</v>
      </c>
      <c r="D67" s="3474" t="s">
        <v>3426</v>
      </c>
      <c r="E67" s="3474" t="s">
        <v>3362</v>
      </c>
      <c r="F67" s="3475">
        <v>77.790000000000006</v>
      </c>
    </row>
    <row r="68" spans="1:6">
      <c r="A68" s="3474">
        <v>66</v>
      </c>
      <c r="B68" s="3474">
        <v>4</v>
      </c>
      <c r="C68" s="3474">
        <v>1</v>
      </c>
      <c r="D68" s="3474" t="s">
        <v>3427</v>
      </c>
      <c r="E68" s="3474" t="s">
        <v>3362</v>
      </c>
      <c r="F68" s="3475">
        <v>96.26</v>
      </c>
    </row>
    <row r="69" spans="1:6">
      <c r="A69" s="3474">
        <v>67</v>
      </c>
      <c r="B69" s="3474">
        <v>4</v>
      </c>
      <c r="C69" s="3474">
        <v>2</v>
      </c>
      <c r="D69" s="3474" t="s">
        <v>3428</v>
      </c>
      <c r="E69" s="3474" t="s">
        <v>3362</v>
      </c>
      <c r="F69" s="3475">
        <v>86.67</v>
      </c>
    </row>
    <row r="70" spans="1:6">
      <c r="A70" s="3474">
        <v>68</v>
      </c>
      <c r="B70" s="3474">
        <v>4</v>
      </c>
      <c r="C70" s="3474">
        <v>2</v>
      </c>
      <c r="D70" s="3474" t="s">
        <v>3429</v>
      </c>
      <c r="E70" s="3474" t="s">
        <v>3362</v>
      </c>
      <c r="F70" s="3475">
        <v>77.67</v>
      </c>
    </row>
    <row r="71" spans="1:6">
      <c r="A71" s="3474">
        <v>69</v>
      </c>
      <c r="B71" s="3474">
        <v>4</v>
      </c>
      <c r="C71" s="3474">
        <v>2</v>
      </c>
      <c r="D71" s="3474" t="s">
        <v>3430</v>
      </c>
      <c r="E71" s="3474" t="s">
        <v>3362</v>
      </c>
      <c r="F71" s="3475">
        <v>97</v>
      </c>
    </row>
    <row r="72" spans="1:6">
      <c r="A72" s="3474">
        <v>70</v>
      </c>
      <c r="B72" s="3474">
        <v>4</v>
      </c>
      <c r="C72" s="3474">
        <v>2</v>
      </c>
      <c r="D72" s="3474" t="s">
        <v>3431</v>
      </c>
      <c r="E72" s="3474" t="s">
        <v>3362</v>
      </c>
      <c r="F72" s="3475">
        <v>96.26</v>
      </c>
    </row>
    <row r="73" spans="1:6">
      <c r="A73" s="3474">
        <v>71</v>
      </c>
      <c r="B73" s="3474">
        <v>4</v>
      </c>
      <c r="C73" s="3474">
        <v>2</v>
      </c>
      <c r="D73" s="3474" t="s">
        <v>3432</v>
      </c>
      <c r="E73" s="3474" t="s">
        <v>3362</v>
      </c>
      <c r="F73" s="3475">
        <v>77.790000000000006</v>
      </c>
    </row>
    <row r="74" spans="1:6">
      <c r="A74" s="3474">
        <v>72</v>
      </c>
      <c r="B74" s="3474">
        <v>4</v>
      </c>
      <c r="C74" s="3474">
        <v>2</v>
      </c>
      <c r="D74" s="3474" t="s">
        <v>3433</v>
      </c>
      <c r="E74" s="3474" t="s">
        <v>3362</v>
      </c>
      <c r="F74" s="3475">
        <v>97</v>
      </c>
    </row>
    <row r="75" spans="1:6">
      <c r="A75" s="3474">
        <v>73</v>
      </c>
      <c r="B75" s="3474">
        <v>4</v>
      </c>
      <c r="C75" s="3474">
        <v>2</v>
      </c>
      <c r="D75" s="3474" t="s">
        <v>3434</v>
      </c>
      <c r="E75" s="3474" t="s">
        <v>3362</v>
      </c>
      <c r="F75" s="3475">
        <v>96.26</v>
      </c>
    </row>
    <row r="76" spans="1:6">
      <c r="A76" s="3474">
        <v>74</v>
      </c>
      <c r="B76" s="3474">
        <v>4</v>
      </c>
      <c r="C76" s="3474">
        <v>2</v>
      </c>
      <c r="D76" s="3474" t="s">
        <v>3435</v>
      </c>
      <c r="E76" s="3474" t="s">
        <v>3362</v>
      </c>
      <c r="F76" s="3475">
        <v>77.790000000000006</v>
      </c>
    </row>
    <row r="77" spans="1:6">
      <c r="A77" s="3474">
        <v>75</v>
      </c>
      <c r="B77" s="3474">
        <v>4</v>
      </c>
      <c r="C77" s="3474">
        <v>2</v>
      </c>
      <c r="D77" s="3474" t="s">
        <v>3436</v>
      </c>
      <c r="E77" s="3474" t="s">
        <v>3362</v>
      </c>
      <c r="F77" s="3475">
        <v>96.95</v>
      </c>
    </row>
    <row r="78" spans="1:6">
      <c r="A78" s="3474">
        <v>76</v>
      </c>
      <c r="B78" s="3474">
        <v>4</v>
      </c>
      <c r="C78" s="3474">
        <v>2</v>
      </c>
      <c r="D78" s="3474" t="s">
        <v>3437</v>
      </c>
      <c r="E78" s="3474" t="s">
        <v>3362</v>
      </c>
      <c r="F78" s="3475">
        <v>96.26</v>
      </c>
    </row>
    <row r="79" spans="1:6">
      <c r="A79" s="3474">
        <v>77</v>
      </c>
      <c r="B79" s="3474">
        <v>4</v>
      </c>
      <c r="C79" s="3474">
        <v>2</v>
      </c>
      <c r="D79" s="3474" t="s">
        <v>3438</v>
      </c>
      <c r="E79" s="3474" t="s">
        <v>3362</v>
      </c>
      <c r="F79" s="3475">
        <v>77.790000000000006</v>
      </c>
    </row>
    <row r="80" spans="1:6">
      <c r="A80" s="3474">
        <v>78</v>
      </c>
      <c r="B80" s="3474">
        <v>4</v>
      </c>
      <c r="C80" s="3474">
        <v>2</v>
      </c>
      <c r="D80" s="3474" t="s">
        <v>3439</v>
      </c>
      <c r="E80" s="3474" t="s">
        <v>3362</v>
      </c>
      <c r="F80" s="3475">
        <v>96.95</v>
      </c>
    </row>
    <row r="81" spans="1:6">
      <c r="A81" s="3474">
        <v>79</v>
      </c>
      <c r="B81" s="3474">
        <v>4</v>
      </c>
      <c r="C81" s="3474">
        <v>2</v>
      </c>
      <c r="D81" s="3474" t="s">
        <v>3440</v>
      </c>
      <c r="E81" s="3474" t="s">
        <v>3362</v>
      </c>
      <c r="F81" s="3475">
        <v>96.26</v>
      </c>
    </row>
    <row r="82" spans="1:6">
      <c r="A82" s="3474">
        <v>80</v>
      </c>
      <c r="B82" s="3474">
        <v>4</v>
      </c>
      <c r="C82" s="3474">
        <v>2</v>
      </c>
      <c r="D82" s="3474" t="s">
        <v>3441</v>
      </c>
      <c r="E82" s="3474" t="s">
        <v>3362</v>
      </c>
      <c r="F82" s="3475">
        <v>77.790000000000006</v>
      </c>
    </row>
    <row r="83" spans="1:6">
      <c r="A83" s="3474">
        <v>81</v>
      </c>
      <c r="B83" s="3474">
        <v>4</v>
      </c>
      <c r="C83" s="3474">
        <v>2</v>
      </c>
      <c r="D83" s="3474" t="s">
        <v>3442</v>
      </c>
      <c r="E83" s="3474" t="s">
        <v>3362</v>
      </c>
      <c r="F83" s="3475">
        <v>96.95</v>
      </c>
    </row>
    <row r="84" spans="1:6">
      <c r="A84" s="3474">
        <v>82</v>
      </c>
      <c r="B84" s="3474">
        <v>4</v>
      </c>
      <c r="C84" s="3474">
        <v>2</v>
      </c>
      <c r="D84" s="3474" t="s">
        <v>3443</v>
      </c>
      <c r="E84" s="3474" t="s">
        <v>3362</v>
      </c>
      <c r="F84" s="3475">
        <v>96.26</v>
      </c>
    </row>
    <row r="85" spans="1:6">
      <c r="A85" s="3474">
        <v>83</v>
      </c>
      <c r="B85" s="3474">
        <v>4</v>
      </c>
      <c r="C85" s="3474">
        <v>2</v>
      </c>
      <c r="D85" s="3474" t="s">
        <v>3444</v>
      </c>
      <c r="E85" s="3474" t="s">
        <v>3362</v>
      </c>
      <c r="F85" s="3475">
        <v>96.95</v>
      </c>
    </row>
    <row r="86" spans="1:6">
      <c r="A86" s="3474">
        <v>84</v>
      </c>
      <c r="B86" s="3474">
        <v>4</v>
      </c>
      <c r="C86" s="3474">
        <v>2</v>
      </c>
      <c r="D86" s="3474" t="s">
        <v>3445</v>
      </c>
      <c r="E86" s="3474" t="s">
        <v>3362</v>
      </c>
      <c r="F86" s="3475">
        <v>96.26</v>
      </c>
    </row>
    <row r="87" spans="1:6">
      <c r="A87" s="3474">
        <v>85</v>
      </c>
      <c r="B87" s="3474">
        <v>4</v>
      </c>
      <c r="C87" s="3474">
        <v>2</v>
      </c>
      <c r="D87" s="3474" t="s">
        <v>3446</v>
      </c>
      <c r="E87" s="3474" t="s">
        <v>3362</v>
      </c>
      <c r="F87" s="3475">
        <v>96.95</v>
      </c>
    </row>
    <row r="88" spans="1:6">
      <c r="A88" s="3474">
        <v>86</v>
      </c>
      <c r="B88" s="3474">
        <v>4</v>
      </c>
      <c r="C88" s="3474">
        <v>2</v>
      </c>
      <c r="D88" s="3474" t="s">
        <v>3447</v>
      </c>
      <c r="E88" s="3474" t="s">
        <v>3362</v>
      </c>
      <c r="F88" s="3475">
        <v>96.26</v>
      </c>
    </row>
    <row r="89" spans="1:6">
      <c r="A89" s="3474">
        <v>87</v>
      </c>
      <c r="B89" s="3474">
        <v>4</v>
      </c>
      <c r="C89" s="3474">
        <v>2</v>
      </c>
      <c r="D89" s="3474" t="s">
        <v>3448</v>
      </c>
      <c r="E89" s="3474" t="s">
        <v>3362</v>
      </c>
      <c r="F89" s="3475">
        <v>77.790000000000006</v>
      </c>
    </row>
    <row r="90" spans="1:6">
      <c r="A90" s="3474">
        <v>88</v>
      </c>
      <c r="B90" s="3474">
        <v>4</v>
      </c>
      <c r="C90" s="3474">
        <v>2</v>
      </c>
      <c r="D90" s="3474" t="s">
        <v>3449</v>
      </c>
      <c r="E90" s="3474" t="s">
        <v>3362</v>
      </c>
      <c r="F90" s="3475">
        <v>96.95</v>
      </c>
    </row>
    <row r="91" spans="1:6">
      <c r="A91" s="3474">
        <v>89</v>
      </c>
      <c r="B91" s="3474">
        <v>4</v>
      </c>
      <c r="C91" s="3474">
        <v>2</v>
      </c>
      <c r="D91" s="3474" t="s">
        <v>3450</v>
      </c>
      <c r="E91" s="3474" t="s">
        <v>3362</v>
      </c>
      <c r="F91" s="3475">
        <v>96.26</v>
      </c>
    </row>
    <row r="92" spans="1:6">
      <c r="A92" s="3474">
        <v>90</v>
      </c>
      <c r="B92" s="3474">
        <v>4</v>
      </c>
      <c r="C92" s="3474">
        <v>2</v>
      </c>
      <c r="D92" s="3474" t="s">
        <v>3451</v>
      </c>
      <c r="E92" s="3474" t="s">
        <v>3362</v>
      </c>
      <c r="F92" s="3475">
        <v>96.26</v>
      </c>
    </row>
    <row r="93" spans="1:6">
      <c r="A93" s="3474">
        <v>91</v>
      </c>
      <c r="B93" s="3474">
        <v>4</v>
      </c>
      <c r="C93" s="3474">
        <v>2</v>
      </c>
      <c r="D93" s="3474" t="s">
        <v>3452</v>
      </c>
      <c r="E93" s="3474" t="s">
        <v>3362</v>
      </c>
      <c r="F93" s="3475">
        <v>77.790000000000006</v>
      </c>
    </row>
    <row r="94" spans="1:6">
      <c r="A94" s="3474">
        <v>92</v>
      </c>
      <c r="B94" s="3474">
        <v>4</v>
      </c>
      <c r="C94" s="3474">
        <v>2</v>
      </c>
      <c r="D94" s="3474" t="s">
        <v>3453</v>
      </c>
      <c r="E94" s="3474" t="s">
        <v>3362</v>
      </c>
      <c r="F94" s="3475">
        <v>96.95</v>
      </c>
    </row>
    <row r="95" spans="1:6">
      <c r="A95" s="3474">
        <v>93</v>
      </c>
      <c r="B95" s="3474">
        <v>4</v>
      </c>
      <c r="C95" s="3474">
        <v>2</v>
      </c>
      <c r="D95" s="3474" t="s">
        <v>3454</v>
      </c>
      <c r="E95" s="3474" t="s">
        <v>3362</v>
      </c>
      <c r="F95" s="3475">
        <v>77.790000000000006</v>
      </c>
    </row>
    <row r="96" spans="1:6">
      <c r="A96" s="3474">
        <v>94</v>
      </c>
      <c r="B96" s="3474">
        <v>4</v>
      </c>
      <c r="C96" s="3474">
        <v>2</v>
      </c>
      <c r="D96" s="3474" t="s">
        <v>3455</v>
      </c>
      <c r="E96" s="3474" t="s">
        <v>3362</v>
      </c>
      <c r="F96" s="3475">
        <v>96.95</v>
      </c>
    </row>
    <row r="97" spans="1:6">
      <c r="A97" s="3474">
        <v>95</v>
      </c>
      <c r="B97" s="3474">
        <v>4</v>
      </c>
      <c r="C97" s="3474">
        <v>2</v>
      </c>
      <c r="D97" s="3474" t="s">
        <v>3456</v>
      </c>
      <c r="E97" s="3474" t="s">
        <v>3362</v>
      </c>
      <c r="F97" s="3475">
        <v>96.26</v>
      </c>
    </row>
    <row r="98" spans="1:6">
      <c r="A98" s="3474">
        <v>96</v>
      </c>
      <c r="B98" s="3474">
        <v>4</v>
      </c>
      <c r="C98" s="3474">
        <v>2</v>
      </c>
      <c r="D98" s="3474" t="s">
        <v>3457</v>
      </c>
      <c r="E98" s="3474" t="s">
        <v>3362</v>
      </c>
      <c r="F98" s="3475">
        <v>77.790000000000006</v>
      </c>
    </row>
    <row r="99" spans="1:6">
      <c r="A99" s="3474">
        <v>97</v>
      </c>
      <c r="B99" s="3474">
        <v>4</v>
      </c>
      <c r="C99" s="3474">
        <v>2</v>
      </c>
      <c r="D99" s="3474" t="s">
        <v>3458</v>
      </c>
      <c r="E99" s="3474" t="s">
        <v>3362</v>
      </c>
      <c r="F99" s="3475">
        <v>96.26</v>
      </c>
    </row>
    <row r="100" spans="1:6">
      <c r="A100" s="3474">
        <v>98</v>
      </c>
      <c r="B100" s="3474">
        <v>4</v>
      </c>
      <c r="C100" s="3474">
        <v>2</v>
      </c>
      <c r="D100" s="3474" t="s">
        <v>3459</v>
      </c>
      <c r="E100" s="3474" t="s">
        <v>3362</v>
      </c>
      <c r="F100" s="3475">
        <v>77.790000000000006</v>
      </c>
    </row>
    <row r="101" spans="1:6">
      <c r="A101" s="3474">
        <v>99</v>
      </c>
      <c r="B101" s="3474">
        <v>4</v>
      </c>
      <c r="C101" s="3474">
        <v>2</v>
      </c>
      <c r="D101" s="3474" t="s">
        <v>3460</v>
      </c>
      <c r="E101" s="3474" t="s">
        <v>3362</v>
      </c>
      <c r="F101" s="3475">
        <v>96.95</v>
      </c>
    </row>
    <row r="102" spans="1:6">
      <c r="A102" s="3474">
        <v>100</v>
      </c>
      <c r="B102" s="3474">
        <v>4</v>
      </c>
      <c r="C102" s="3474">
        <v>2</v>
      </c>
      <c r="D102" s="3474" t="s">
        <v>3461</v>
      </c>
      <c r="E102" s="3474" t="s">
        <v>3362</v>
      </c>
      <c r="F102" s="3475">
        <v>96.26</v>
      </c>
    </row>
    <row r="103" spans="1:6">
      <c r="A103" s="3474">
        <v>101</v>
      </c>
      <c r="B103" s="3474">
        <v>4</v>
      </c>
      <c r="C103" s="3474">
        <v>2</v>
      </c>
      <c r="D103" s="3474" t="s">
        <v>3462</v>
      </c>
      <c r="E103" s="3474" t="s">
        <v>3362</v>
      </c>
      <c r="F103" s="3475">
        <v>77.790000000000006</v>
      </c>
    </row>
    <row r="104" spans="1:6">
      <c r="A104" s="3474">
        <v>102</v>
      </c>
      <c r="B104" s="3474">
        <v>4</v>
      </c>
      <c r="C104" s="3474">
        <v>2</v>
      </c>
      <c r="D104" s="3474" t="s">
        <v>3463</v>
      </c>
      <c r="E104" s="3474" t="s">
        <v>3362</v>
      </c>
      <c r="F104" s="3475">
        <v>96.95</v>
      </c>
    </row>
    <row r="105" spans="1:6">
      <c r="A105" s="3474">
        <v>103</v>
      </c>
      <c r="B105" s="3474">
        <v>4</v>
      </c>
      <c r="C105" s="3474">
        <v>2</v>
      </c>
      <c r="D105" s="3474" t="s">
        <v>3464</v>
      </c>
      <c r="E105" s="3474" t="s">
        <v>3362</v>
      </c>
      <c r="F105" s="3475">
        <v>96.26</v>
      </c>
    </row>
    <row r="106" spans="1:6">
      <c r="A106" s="3474">
        <v>104</v>
      </c>
      <c r="B106" s="3474">
        <v>4</v>
      </c>
      <c r="C106" s="3474">
        <v>2</v>
      </c>
      <c r="D106" s="3474" t="s">
        <v>3465</v>
      </c>
      <c r="E106" s="3474" t="s">
        <v>3362</v>
      </c>
      <c r="F106" s="3475">
        <v>77.790000000000006</v>
      </c>
    </row>
    <row r="107" spans="1:6">
      <c r="A107" s="3474">
        <v>105</v>
      </c>
      <c r="B107" s="3474">
        <v>4</v>
      </c>
      <c r="C107" s="3474">
        <v>2</v>
      </c>
      <c r="D107" s="3474" t="s">
        <v>3466</v>
      </c>
      <c r="E107" s="3474" t="s">
        <v>3362</v>
      </c>
      <c r="F107" s="3475">
        <v>96.26</v>
      </c>
    </row>
    <row r="108" spans="1:6">
      <c r="A108" s="3474">
        <v>106</v>
      </c>
      <c r="B108" s="3474">
        <v>4</v>
      </c>
      <c r="C108" s="3474">
        <v>2</v>
      </c>
      <c r="D108" s="3474" t="s">
        <v>3467</v>
      </c>
      <c r="E108" s="3474" t="s">
        <v>3362</v>
      </c>
      <c r="F108" s="3475">
        <v>77.790000000000006</v>
      </c>
    </row>
    <row r="109" spans="1:6">
      <c r="A109" s="3474">
        <v>107</v>
      </c>
      <c r="B109" s="3474">
        <v>4</v>
      </c>
      <c r="C109" s="3474">
        <v>2</v>
      </c>
      <c r="D109" s="3474" t="s">
        <v>3468</v>
      </c>
      <c r="E109" s="3474" t="s">
        <v>3362</v>
      </c>
      <c r="F109" s="3475">
        <v>96.95</v>
      </c>
    </row>
    <row r="110" spans="1:6">
      <c r="A110" s="3474">
        <v>108</v>
      </c>
      <c r="B110" s="3474">
        <v>5</v>
      </c>
      <c r="C110" s="3474">
        <v>1</v>
      </c>
      <c r="D110" s="3474" t="s">
        <v>3469</v>
      </c>
      <c r="E110" s="3474" t="s">
        <v>3362</v>
      </c>
      <c r="F110" s="3475">
        <v>97.09</v>
      </c>
    </row>
    <row r="111" spans="1:6">
      <c r="A111" s="3474">
        <v>109</v>
      </c>
      <c r="B111" s="3474">
        <v>5</v>
      </c>
      <c r="C111" s="3474">
        <v>1</v>
      </c>
      <c r="D111" s="3474" t="s">
        <v>3470</v>
      </c>
      <c r="E111" s="3474" t="s">
        <v>3362</v>
      </c>
      <c r="F111" s="3475">
        <v>77.739999999999995</v>
      </c>
    </row>
    <row r="112" spans="1:6">
      <c r="A112" s="3474">
        <v>110</v>
      </c>
      <c r="B112" s="3474">
        <v>5</v>
      </c>
      <c r="C112" s="3474">
        <v>1</v>
      </c>
      <c r="D112" s="3474" t="s">
        <v>3471</v>
      </c>
      <c r="E112" s="3474" t="s">
        <v>3362</v>
      </c>
      <c r="F112" s="3475">
        <v>86.75</v>
      </c>
    </row>
    <row r="113" spans="1:6">
      <c r="A113" s="3474">
        <v>111</v>
      </c>
      <c r="B113" s="3474">
        <v>5</v>
      </c>
      <c r="C113" s="3474">
        <v>1</v>
      </c>
      <c r="D113" s="3474" t="s">
        <v>3472</v>
      </c>
      <c r="E113" s="3474" t="s">
        <v>3362</v>
      </c>
      <c r="F113" s="3475">
        <v>97.09</v>
      </c>
    </row>
    <row r="114" spans="1:6">
      <c r="A114" s="3474">
        <v>112</v>
      </c>
      <c r="B114" s="3474">
        <v>5</v>
      </c>
      <c r="C114" s="3474">
        <v>1</v>
      </c>
      <c r="D114" s="3474" t="s">
        <v>3473</v>
      </c>
      <c r="E114" s="3474" t="s">
        <v>3362</v>
      </c>
      <c r="F114" s="3475">
        <v>77.86</v>
      </c>
    </row>
    <row r="115" spans="1:6">
      <c r="A115" s="3474">
        <v>113</v>
      </c>
      <c r="B115" s="3474">
        <v>5</v>
      </c>
      <c r="C115" s="3474">
        <v>1</v>
      </c>
      <c r="D115" s="3474" t="s">
        <v>3474</v>
      </c>
      <c r="E115" s="3474" t="s">
        <v>3362</v>
      </c>
      <c r="F115" s="3475">
        <v>96.35</v>
      </c>
    </row>
    <row r="116" spans="1:6">
      <c r="A116" s="3474">
        <v>114</v>
      </c>
      <c r="B116" s="3474">
        <v>5</v>
      </c>
      <c r="C116" s="3474">
        <v>1</v>
      </c>
      <c r="D116" s="3474" t="s">
        <v>3475</v>
      </c>
      <c r="E116" s="3474" t="s">
        <v>3362</v>
      </c>
      <c r="F116" s="3475">
        <v>97.04</v>
      </c>
    </row>
    <row r="117" spans="1:6">
      <c r="A117" s="3474">
        <v>115</v>
      </c>
      <c r="B117" s="3474">
        <v>5</v>
      </c>
      <c r="C117" s="3474">
        <v>1</v>
      </c>
      <c r="D117" s="3474" t="s">
        <v>3476</v>
      </c>
      <c r="E117" s="3474" t="s">
        <v>3362</v>
      </c>
      <c r="F117" s="3475">
        <v>77.86</v>
      </c>
    </row>
    <row r="118" spans="1:6">
      <c r="A118" s="3474">
        <v>116</v>
      </c>
      <c r="B118" s="3474">
        <v>5</v>
      </c>
      <c r="C118" s="3474">
        <v>1</v>
      </c>
      <c r="D118" s="3474" t="s">
        <v>3477</v>
      </c>
      <c r="E118" s="3474" t="s">
        <v>3362</v>
      </c>
      <c r="F118" s="3475">
        <v>96.35</v>
      </c>
    </row>
    <row r="119" spans="1:6">
      <c r="A119" s="3474">
        <v>117</v>
      </c>
      <c r="B119" s="3474">
        <v>5</v>
      </c>
      <c r="C119" s="3474">
        <v>1</v>
      </c>
      <c r="D119" s="3474" t="s">
        <v>3478</v>
      </c>
      <c r="E119" s="3474" t="s">
        <v>3362</v>
      </c>
      <c r="F119" s="3475">
        <v>77.86</v>
      </c>
    </row>
    <row r="120" spans="1:6">
      <c r="A120" s="3474">
        <v>118</v>
      </c>
      <c r="B120" s="3474">
        <v>5</v>
      </c>
      <c r="C120" s="3474">
        <v>1</v>
      </c>
      <c r="D120" s="3474" t="s">
        <v>3479</v>
      </c>
      <c r="E120" s="3474" t="s">
        <v>3362</v>
      </c>
      <c r="F120" s="3475">
        <v>96.35</v>
      </c>
    </row>
    <row r="121" spans="1:6">
      <c r="A121" s="3474">
        <v>119</v>
      </c>
      <c r="B121" s="3474">
        <v>5</v>
      </c>
      <c r="C121" s="3474">
        <v>1</v>
      </c>
      <c r="D121" s="3474" t="s">
        <v>3480</v>
      </c>
      <c r="E121" s="3474" t="s">
        <v>3362</v>
      </c>
      <c r="F121" s="3475">
        <v>97.04</v>
      </c>
    </row>
    <row r="122" spans="1:6">
      <c r="A122" s="3474">
        <v>120</v>
      </c>
      <c r="B122" s="3474">
        <v>5</v>
      </c>
      <c r="C122" s="3474">
        <v>1</v>
      </c>
      <c r="D122" s="3474" t="s">
        <v>3481</v>
      </c>
      <c r="E122" s="3474" t="s">
        <v>3362</v>
      </c>
      <c r="F122" s="3475">
        <v>96.35</v>
      </c>
    </row>
    <row r="123" spans="1:6">
      <c r="A123" s="3474">
        <v>121</v>
      </c>
      <c r="B123" s="3474">
        <v>5</v>
      </c>
      <c r="C123" s="3474">
        <v>1</v>
      </c>
      <c r="D123" s="3474" t="s">
        <v>3482</v>
      </c>
      <c r="E123" s="3474" t="s">
        <v>3362</v>
      </c>
      <c r="F123" s="3475">
        <v>96.35</v>
      </c>
    </row>
    <row r="124" spans="1:6">
      <c r="A124" s="3474">
        <v>122</v>
      </c>
      <c r="B124" s="3474">
        <v>5</v>
      </c>
      <c r="C124" s="3474">
        <v>1</v>
      </c>
      <c r="D124" s="3474" t="s">
        <v>3483</v>
      </c>
      <c r="E124" s="3474" t="s">
        <v>3362</v>
      </c>
      <c r="F124" s="3475">
        <v>77.86</v>
      </c>
    </row>
    <row r="125" spans="1:6">
      <c r="A125" s="3474">
        <v>123</v>
      </c>
      <c r="B125" s="3474">
        <v>5</v>
      </c>
      <c r="C125" s="3474">
        <v>1</v>
      </c>
      <c r="D125" s="3474" t="s">
        <v>3484</v>
      </c>
      <c r="E125" s="3474" t="s">
        <v>3362</v>
      </c>
      <c r="F125" s="3475">
        <v>96.35</v>
      </c>
    </row>
    <row r="126" spans="1:6">
      <c r="A126" s="3474">
        <v>124</v>
      </c>
      <c r="B126" s="3474">
        <v>5</v>
      </c>
      <c r="C126" s="3474">
        <v>1</v>
      </c>
      <c r="D126" s="3474" t="s">
        <v>3485</v>
      </c>
      <c r="E126" s="3474" t="s">
        <v>3362</v>
      </c>
      <c r="F126" s="3475">
        <v>96.35</v>
      </c>
    </row>
    <row r="127" spans="1:6">
      <c r="A127" s="3474">
        <v>125</v>
      </c>
      <c r="B127" s="3474">
        <v>5</v>
      </c>
      <c r="C127" s="3474">
        <v>1</v>
      </c>
      <c r="D127" s="3474" t="s">
        <v>3486</v>
      </c>
      <c r="E127" s="3474" t="s">
        <v>3362</v>
      </c>
      <c r="F127" s="3475">
        <v>96.35</v>
      </c>
    </row>
    <row r="128" spans="1:6">
      <c r="A128" s="3474">
        <v>126</v>
      </c>
      <c r="B128" s="3474">
        <v>5</v>
      </c>
      <c r="C128" s="3474">
        <v>1</v>
      </c>
      <c r="D128" s="3474" t="s">
        <v>3487</v>
      </c>
      <c r="E128" s="3474" t="s">
        <v>3362</v>
      </c>
      <c r="F128" s="3475">
        <v>77.86</v>
      </c>
    </row>
    <row r="129" spans="1:6">
      <c r="A129" s="3474">
        <v>127</v>
      </c>
      <c r="B129" s="3474">
        <v>5</v>
      </c>
      <c r="C129" s="3474">
        <v>1</v>
      </c>
      <c r="D129" s="3474" t="s">
        <v>3488</v>
      </c>
      <c r="E129" s="3474" t="s">
        <v>3362</v>
      </c>
      <c r="F129" s="3475">
        <v>96.35</v>
      </c>
    </row>
    <row r="130" spans="1:6">
      <c r="A130" s="3474">
        <v>128</v>
      </c>
      <c r="B130" s="3474">
        <v>5</v>
      </c>
      <c r="C130" s="3474">
        <v>1</v>
      </c>
      <c r="D130" s="3474" t="s">
        <v>3489</v>
      </c>
      <c r="E130" s="3474" t="s">
        <v>3362</v>
      </c>
      <c r="F130" s="3475">
        <v>97.04</v>
      </c>
    </row>
    <row r="131" spans="1:6">
      <c r="A131" s="3474">
        <v>129</v>
      </c>
      <c r="B131" s="3474">
        <v>5</v>
      </c>
      <c r="C131" s="3474">
        <v>1</v>
      </c>
      <c r="D131" s="3474" t="s">
        <v>3490</v>
      </c>
      <c r="E131" s="3474" t="s">
        <v>3362</v>
      </c>
      <c r="F131" s="3475">
        <v>77.86</v>
      </c>
    </row>
    <row r="132" spans="1:6">
      <c r="A132" s="3474">
        <v>130</v>
      </c>
      <c r="B132" s="3474">
        <v>5</v>
      </c>
      <c r="C132" s="3474">
        <v>1</v>
      </c>
      <c r="D132" s="3474" t="s">
        <v>3491</v>
      </c>
      <c r="E132" s="3474" t="s">
        <v>3362</v>
      </c>
      <c r="F132" s="3475">
        <v>96.35</v>
      </c>
    </row>
    <row r="133" spans="1:6">
      <c r="A133" s="3474">
        <v>131</v>
      </c>
      <c r="B133" s="3474">
        <v>5</v>
      </c>
      <c r="C133" s="3474">
        <v>1</v>
      </c>
      <c r="D133" s="3474" t="s">
        <v>3492</v>
      </c>
      <c r="E133" s="3474" t="s">
        <v>3362</v>
      </c>
      <c r="F133" s="3475">
        <v>77.86</v>
      </c>
    </row>
    <row r="134" spans="1:6">
      <c r="A134" s="3474">
        <v>132</v>
      </c>
      <c r="B134" s="3474">
        <v>5</v>
      </c>
      <c r="C134" s="3474">
        <v>1</v>
      </c>
      <c r="D134" s="3474" t="s">
        <v>3493</v>
      </c>
      <c r="E134" s="3474" t="s">
        <v>3362</v>
      </c>
      <c r="F134" s="3475">
        <v>96.35</v>
      </c>
    </row>
    <row r="135" spans="1:6">
      <c r="A135" s="3474">
        <v>133</v>
      </c>
      <c r="B135" s="3474">
        <v>5</v>
      </c>
      <c r="C135" s="3474">
        <v>1</v>
      </c>
      <c r="D135" s="3474" t="s">
        <v>3494</v>
      </c>
      <c r="E135" s="3474" t="s">
        <v>3362</v>
      </c>
      <c r="F135" s="3475">
        <v>97.04</v>
      </c>
    </row>
    <row r="136" spans="1:6">
      <c r="A136" s="3474">
        <v>134</v>
      </c>
      <c r="B136" s="3474">
        <v>5</v>
      </c>
      <c r="C136" s="3474">
        <v>1</v>
      </c>
      <c r="D136" s="3474" t="s">
        <v>3495</v>
      </c>
      <c r="E136" s="3474" t="s">
        <v>3362</v>
      </c>
      <c r="F136" s="3475">
        <v>96.35</v>
      </c>
    </row>
    <row r="137" spans="1:6">
      <c r="A137" s="3474">
        <v>135</v>
      </c>
      <c r="B137" s="3474">
        <v>5</v>
      </c>
      <c r="C137" s="3474">
        <v>1</v>
      </c>
      <c r="D137" s="3474" t="s">
        <v>3496</v>
      </c>
      <c r="E137" s="3474" t="s">
        <v>3362</v>
      </c>
      <c r="F137" s="3475">
        <v>97.04</v>
      </c>
    </row>
    <row r="138" spans="1:6">
      <c r="A138" s="3474">
        <v>136</v>
      </c>
      <c r="B138" s="3474">
        <v>5</v>
      </c>
      <c r="C138" s="3474">
        <v>1</v>
      </c>
      <c r="D138" s="3474" t="s">
        <v>3497</v>
      </c>
      <c r="E138" s="3474" t="s">
        <v>3362</v>
      </c>
      <c r="F138" s="3475">
        <v>96.35</v>
      </c>
    </row>
    <row r="139" spans="1:6">
      <c r="A139" s="3474">
        <v>137</v>
      </c>
      <c r="B139" s="3474">
        <v>5</v>
      </c>
      <c r="C139" s="3474">
        <v>1</v>
      </c>
      <c r="D139" s="3474" t="s">
        <v>3498</v>
      </c>
      <c r="E139" s="3474" t="s">
        <v>3362</v>
      </c>
      <c r="F139" s="3475">
        <v>77.86</v>
      </c>
    </row>
    <row r="140" spans="1:6">
      <c r="A140" s="3474">
        <v>138</v>
      </c>
      <c r="B140" s="3474">
        <v>5</v>
      </c>
      <c r="C140" s="3474">
        <v>1</v>
      </c>
      <c r="D140" s="3474" t="s">
        <v>3499</v>
      </c>
      <c r="E140" s="3474" t="s">
        <v>3362</v>
      </c>
      <c r="F140" s="3475">
        <v>96.35</v>
      </c>
    </row>
    <row r="141" spans="1:6">
      <c r="A141" s="3474">
        <v>139</v>
      </c>
      <c r="B141" s="3474">
        <v>5</v>
      </c>
      <c r="C141" s="3474">
        <v>2</v>
      </c>
      <c r="D141" s="3474" t="s">
        <v>3500</v>
      </c>
      <c r="E141" s="3474" t="s">
        <v>3362</v>
      </c>
      <c r="F141" s="3475">
        <v>86.75</v>
      </c>
    </row>
    <row r="142" spans="1:6">
      <c r="A142" s="3474">
        <v>140</v>
      </c>
      <c r="B142" s="3474">
        <v>5</v>
      </c>
      <c r="C142" s="3474">
        <v>2</v>
      </c>
      <c r="D142" s="3474" t="s">
        <v>3501</v>
      </c>
      <c r="E142" s="3474" t="s">
        <v>3362</v>
      </c>
      <c r="F142" s="3475">
        <v>77.739999999999995</v>
      </c>
    </row>
    <row r="143" spans="1:6">
      <c r="A143" s="3474">
        <v>141</v>
      </c>
      <c r="B143" s="3474">
        <v>5</v>
      </c>
      <c r="C143" s="3474">
        <v>2</v>
      </c>
      <c r="D143" s="3474" t="s">
        <v>3502</v>
      </c>
      <c r="E143" s="3474" t="s">
        <v>3362</v>
      </c>
      <c r="F143" s="3475">
        <v>97.09</v>
      </c>
    </row>
    <row r="144" spans="1:6">
      <c r="A144" s="3474">
        <v>142</v>
      </c>
      <c r="B144" s="3474">
        <v>5</v>
      </c>
      <c r="C144" s="3474">
        <v>2</v>
      </c>
      <c r="D144" s="3474" t="s">
        <v>3503</v>
      </c>
      <c r="E144" s="3474" t="s">
        <v>3362</v>
      </c>
      <c r="F144" s="3475">
        <v>96.35</v>
      </c>
    </row>
    <row r="145" spans="1:6">
      <c r="A145" s="3474">
        <v>143</v>
      </c>
      <c r="B145" s="3474">
        <v>5</v>
      </c>
      <c r="C145" s="3474">
        <v>2</v>
      </c>
      <c r="D145" s="3474" t="s">
        <v>3504</v>
      </c>
      <c r="E145" s="3474" t="s">
        <v>3362</v>
      </c>
      <c r="F145" s="3475">
        <v>97.09</v>
      </c>
    </row>
    <row r="146" spans="1:6">
      <c r="A146" s="3474">
        <v>144</v>
      </c>
      <c r="B146" s="3474">
        <v>5</v>
      </c>
      <c r="C146" s="3474">
        <v>2</v>
      </c>
      <c r="D146" s="3474" t="s">
        <v>3505</v>
      </c>
      <c r="E146" s="3474" t="s">
        <v>3362</v>
      </c>
      <c r="F146" s="3475">
        <v>96.35</v>
      </c>
    </row>
    <row r="147" spans="1:6">
      <c r="A147" s="3474">
        <v>145</v>
      </c>
      <c r="B147" s="3474">
        <v>5</v>
      </c>
      <c r="C147" s="3474">
        <v>2</v>
      </c>
      <c r="D147" s="3474" t="s">
        <v>3506</v>
      </c>
      <c r="E147" s="3474" t="s">
        <v>3362</v>
      </c>
      <c r="F147" s="3475">
        <v>77.86</v>
      </c>
    </row>
    <row r="148" spans="1:6">
      <c r="A148" s="3474">
        <v>146</v>
      </c>
      <c r="B148" s="3474">
        <v>5</v>
      </c>
      <c r="C148" s="3474">
        <v>2</v>
      </c>
      <c r="D148" s="3474" t="s">
        <v>3507</v>
      </c>
      <c r="E148" s="3474" t="s">
        <v>3362</v>
      </c>
      <c r="F148" s="3475">
        <v>97.04</v>
      </c>
    </row>
    <row r="149" spans="1:6">
      <c r="A149" s="3474">
        <v>147</v>
      </c>
      <c r="B149" s="3474">
        <v>5</v>
      </c>
      <c r="C149" s="3474">
        <v>2</v>
      </c>
      <c r="D149" s="3474" t="s">
        <v>3508</v>
      </c>
      <c r="E149" s="3474" t="s">
        <v>3362</v>
      </c>
      <c r="F149" s="3475">
        <v>96.35</v>
      </c>
    </row>
    <row r="150" spans="1:6">
      <c r="A150" s="3474">
        <v>148</v>
      </c>
      <c r="B150" s="3474">
        <v>5</v>
      </c>
      <c r="C150" s="3474">
        <v>2</v>
      </c>
      <c r="D150" s="3474" t="s">
        <v>3509</v>
      </c>
      <c r="E150" s="3474" t="s">
        <v>3362</v>
      </c>
      <c r="F150" s="3475">
        <v>97.04</v>
      </c>
    </row>
    <row r="151" spans="1:6">
      <c r="A151" s="3474">
        <v>149</v>
      </c>
      <c r="B151" s="3474">
        <v>5</v>
      </c>
      <c r="C151" s="3474">
        <v>2</v>
      </c>
      <c r="D151" s="3474" t="s">
        <v>3510</v>
      </c>
      <c r="E151" s="3474" t="s">
        <v>3362</v>
      </c>
      <c r="F151" s="3475">
        <v>96.35</v>
      </c>
    </row>
    <row r="152" spans="1:6">
      <c r="A152" s="3474">
        <v>150</v>
      </c>
      <c r="B152" s="3474">
        <v>5</v>
      </c>
      <c r="C152" s="3474">
        <v>2</v>
      </c>
      <c r="D152" s="3474" t="s">
        <v>3511</v>
      </c>
      <c r="E152" s="3474" t="s">
        <v>3362</v>
      </c>
      <c r="F152" s="3475">
        <v>96.35</v>
      </c>
    </row>
    <row r="153" spans="1:6">
      <c r="A153" s="3474">
        <v>151</v>
      </c>
      <c r="B153" s="3474">
        <v>5</v>
      </c>
      <c r="C153" s="3474">
        <v>2</v>
      </c>
      <c r="D153" s="3474" t="s">
        <v>3512</v>
      </c>
      <c r="E153" s="3474" t="s">
        <v>3362</v>
      </c>
      <c r="F153" s="3475">
        <v>97.04</v>
      </c>
    </row>
    <row r="154" spans="1:6">
      <c r="A154" s="3474">
        <v>152</v>
      </c>
      <c r="B154" s="3474">
        <v>5</v>
      </c>
      <c r="C154" s="3474">
        <v>2</v>
      </c>
      <c r="D154" s="3474" t="s">
        <v>3513</v>
      </c>
      <c r="E154" s="3474" t="s">
        <v>3362</v>
      </c>
      <c r="F154" s="3475">
        <v>96.35</v>
      </c>
    </row>
    <row r="155" spans="1:6">
      <c r="A155" s="3474">
        <v>153</v>
      </c>
      <c r="B155" s="3474">
        <v>5</v>
      </c>
      <c r="C155" s="3474">
        <v>2</v>
      </c>
      <c r="D155" s="3474" t="s">
        <v>3514</v>
      </c>
      <c r="E155" s="3474" t="s">
        <v>3362</v>
      </c>
      <c r="F155" s="3475">
        <v>96.35</v>
      </c>
    </row>
    <row r="156" spans="1:6">
      <c r="A156" s="3474">
        <v>154</v>
      </c>
      <c r="B156" s="3474">
        <v>5</v>
      </c>
      <c r="C156" s="3474">
        <v>2</v>
      </c>
      <c r="D156" s="3474" t="s">
        <v>3515</v>
      </c>
      <c r="E156" s="3474" t="s">
        <v>3362</v>
      </c>
      <c r="F156" s="3475">
        <v>77.86</v>
      </c>
    </row>
    <row r="157" spans="1:6">
      <c r="A157" s="3474">
        <v>155</v>
      </c>
      <c r="B157" s="3474">
        <v>5</v>
      </c>
      <c r="C157" s="3474">
        <v>2</v>
      </c>
      <c r="D157" s="3474" t="s">
        <v>3516</v>
      </c>
      <c r="E157" s="3474" t="s">
        <v>3362</v>
      </c>
      <c r="F157" s="3475">
        <v>97.04</v>
      </c>
    </row>
    <row r="158" spans="1:6">
      <c r="A158" s="3474">
        <v>156</v>
      </c>
      <c r="B158" s="3474">
        <v>5</v>
      </c>
      <c r="C158" s="3474">
        <v>2</v>
      </c>
      <c r="D158" s="3474" t="s">
        <v>3517</v>
      </c>
      <c r="E158" s="3474" t="s">
        <v>3362</v>
      </c>
      <c r="F158" s="3475">
        <v>97.04</v>
      </c>
    </row>
    <row r="159" spans="1:6">
      <c r="A159" s="3474">
        <v>157</v>
      </c>
      <c r="B159" s="3474">
        <v>5</v>
      </c>
      <c r="C159" s="3474">
        <v>2</v>
      </c>
      <c r="D159" s="3474" t="s">
        <v>3518</v>
      </c>
      <c r="E159" s="3474" t="s">
        <v>3362</v>
      </c>
      <c r="F159" s="3475">
        <v>77.86</v>
      </c>
    </row>
    <row r="160" spans="1:6">
      <c r="A160" s="3474">
        <v>158</v>
      </c>
      <c r="B160" s="3474">
        <v>5</v>
      </c>
      <c r="C160" s="3474">
        <v>2</v>
      </c>
      <c r="D160" s="3474" t="s">
        <v>3519</v>
      </c>
      <c r="E160" s="3474" t="s">
        <v>3362</v>
      </c>
      <c r="F160" s="3475">
        <v>97.04</v>
      </c>
    </row>
    <row r="161" spans="1:6">
      <c r="A161" s="3474">
        <v>159</v>
      </c>
      <c r="B161" s="3474">
        <v>5</v>
      </c>
      <c r="C161" s="3474">
        <v>2</v>
      </c>
      <c r="D161" s="3474" t="s">
        <v>3520</v>
      </c>
      <c r="E161" s="3474" t="s">
        <v>3362</v>
      </c>
      <c r="F161" s="3475">
        <v>97.04</v>
      </c>
    </row>
    <row r="162" spans="1:6">
      <c r="A162" s="3474">
        <v>160</v>
      </c>
      <c r="B162" s="3474">
        <v>5</v>
      </c>
      <c r="C162" s="3474">
        <v>2</v>
      </c>
      <c r="D162" s="3474" t="s">
        <v>3521</v>
      </c>
      <c r="E162" s="3474" t="s">
        <v>3362</v>
      </c>
      <c r="F162" s="3475">
        <v>77.86</v>
      </c>
    </row>
    <row r="163" spans="1:6">
      <c r="A163" s="3474">
        <v>161</v>
      </c>
      <c r="B163" s="3474">
        <v>5</v>
      </c>
      <c r="C163" s="3474">
        <v>2</v>
      </c>
      <c r="D163" s="3474" t="s">
        <v>3522</v>
      </c>
      <c r="E163" s="3474" t="s">
        <v>3362</v>
      </c>
      <c r="F163" s="3475">
        <v>97.04</v>
      </c>
    </row>
    <row r="164" spans="1:6">
      <c r="A164" s="3574" t="s">
        <v>3523</v>
      </c>
      <c r="B164" s="3575"/>
      <c r="C164" s="3575"/>
      <c r="D164" s="3575"/>
      <c r="E164" s="3576"/>
      <c r="F164" s="3474">
        <f>SUM(F3:F163)</f>
        <v>15813.740000000045</v>
      </c>
    </row>
    <row r="165" spans="1:6">
      <c r="A165" s="3474">
        <v>162</v>
      </c>
      <c r="B165" s="3474">
        <v>1</v>
      </c>
      <c r="C165" s="3474" t="s">
        <v>3524</v>
      </c>
      <c r="D165" s="3476">
        <v>-301</v>
      </c>
      <c r="E165" s="3476" t="s">
        <v>3525</v>
      </c>
      <c r="F165" s="3477">
        <v>14.73</v>
      </c>
    </row>
    <row r="166" spans="1:6">
      <c r="A166" s="3474">
        <v>163</v>
      </c>
      <c r="B166" s="3474">
        <v>1</v>
      </c>
      <c r="C166" s="3474" t="s">
        <v>3524</v>
      </c>
      <c r="D166" s="3476">
        <v>-302</v>
      </c>
      <c r="E166" s="3476" t="s">
        <v>3525</v>
      </c>
      <c r="F166" s="3477">
        <v>27.3</v>
      </c>
    </row>
    <row r="167" spans="1:6">
      <c r="A167" s="3474">
        <v>164</v>
      </c>
      <c r="B167" s="3474">
        <v>1</v>
      </c>
      <c r="C167" s="3474" t="s">
        <v>3524</v>
      </c>
      <c r="D167" s="3476">
        <v>-303</v>
      </c>
      <c r="E167" s="3476" t="s">
        <v>3525</v>
      </c>
      <c r="F167" s="3477">
        <v>33.49</v>
      </c>
    </row>
    <row r="168" spans="1:6">
      <c r="A168" s="3474">
        <v>165</v>
      </c>
      <c r="B168" s="3474">
        <v>1</v>
      </c>
      <c r="C168" s="3474" t="s">
        <v>3524</v>
      </c>
      <c r="D168" s="3476">
        <v>-304</v>
      </c>
      <c r="E168" s="3476" t="s">
        <v>3525</v>
      </c>
      <c r="F168" s="3477">
        <v>33.49</v>
      </c>
    </row>
    <row r="169" spans="1:6">
      <c r="A169" s="3474">
        <v>166</v>
      </c>
      <c r="B169" s="3474">
        <v>1</v>
      </c>
      <c r="C169" s="3474" t="s">
        <v>3524</v>
      </c>
      <c r="D169" s="3476">
        <v>-305</v>
      </c>
      <c r="E169" s="3476" t="s">
        <v>3525</v>
      </c>
      <c r="F169" s="3477">
        <v>24.15</v>
      </c>
    </row>
    <row r="170" spans="1:6">
      <c r="A170" s="3474">
        <v>167</v>
      </c>
      <c r="B170" s="3474">
        <v>1</v>
      </c>
      <c r="C170" s="3474" t="s">
        <v>3524</v>
      </c>
      <c r="D170" s="3476">
        <v>-201</v>
      </c>
      <c r="E170" s="3476" t="s">
        <v>3525</v>
      </c>
      <c r="F170" s="3477">
        <v>27.3</v>
      </c>
    </row>
    <row r="171" spans="1:6">
      <c r="A171" s="3474">
        <v>168</v>
      </c>
      <c r="B171" s="3474">
        <v>1</v>
      </c>
      <c r="C171" s="3474" t="s">
        <v>3524</v>
      </c>
      <c r="D171" s="3476">
        <v>-202</v>
      </c>
      <c r="E171" s="3476" t="s">
        <v>3525</v>
      </c>
      <c r="F171" s="3477">
        <v>27.3</v>
      </c>
    </row>
    <row r="172" spans="1:6">
      <c r="A172" s="3474">
        <v>169</v>
      </c>
      <c r="B172" s="3474">
        <v>1</v>
      </c>
      <c r="C172" s="3474" t="s">
        <v>3524</v>
      </c>
      <c r="D172" s="3476">
        <v>-203</v>
      </c>
      <c r="E172" s="3476" t="s">
        <v>3525</v>
      </c>
      <c r="F172" s="3477">
        <v>14.52</v>
      </c>
    </row>
    <row r="173" spans="1:6">
      <c r="A173" s="3474">
        <v>170</v>
      </c>
      <c r="B173" s="3474">
        <v>1</v>
      </c>
      <c r="C173" s="3474" t="s">
        <v>3524</v>
      </c>
      <c r="D173" s="3476">
        <v>-204</v>
      </c>
      <c r="E173" s="3476" t="s">
        <v>3525</v>
      </c>
      <c r="F173" s="3477">
        <v>27.3</v>
      </c>
    </row>
    <row r="174" spans="1:6">
      <c r="A174" s="3474">
        <v>171</v>
      </c>
      <c r="B174" s="3474">
        <v>1</v>
      </c>
      <c r="C174" s="3474" t="s">
        <v>3524</v>
      </c>
      <c r="D174" s="3476">
        <v>-205</v>
      </c>
      <c r="E174" s="3476" t="s">
        <v>3525</v>
      </c>
      <c r="F174" s="3477">
        <v>19.68</v>
      </c>
    </row>
    <row r="175" spans="1:6">
      <c r="A175" s="3474">
        <v>172</v>
      </c>
      <c r="B175" s="3474">
        <v>1</v>
      </c>
      <c r="C175" s="3474" t="s">
        <v>3524</v>
      </c>
      <c r="D175" s="3476">
        <v>-206</v>
      </c>
      <c r="E175" s="3476" t="s">
        <v>3525</v>
      </c>
      <c r="F175" s="3477">
        <v>33.64</v>
      </c>
    </row>
    <row r="176" spans="1:6">
      <c r="A176" s="3474">
        <v>173</v>
      </c>
      <c r="B176" s="3474">
        <v>1</v>
      </c>
      <c r="C176" s="3474" t="s">
        <v>3524</v>
      </c>
      <c r="D176" s="3476">
        <v>-207</v>
      </c>
      <c r="E176" s="3476" t="s">
        <v>3525</v>
      </c>
      <c r="F176" s="3477">
        <v>24.66</v>
      </c>
    </row>
    <row r="177" spans="1:6">
      <c r="A177" s="3474">
        <v>174</v>
      </c>
      <c r="B177" s="3474">
        <v>1</v>
      </c>
      <c r="C177" s="3474" t="s">
        <v>3524</v>
      </c>
      <c r="D177" s="3476">
        <v>-208</v>
      </c>
      <c r="E177" s="3476" t="s">
        <v>3525</v>
      </c>
      <c r="F177" s="3477">
        <v>33.64</v>
      </c>
    </row>
    <row r="178" spans="1:6">
      <c r="A178" s="3474">
        <v>175</v>
      </c>
      <c r="B178" s="3474">
        <v>1</v>
      </c>
      <c r="C178" s="3474" t="s">
        <v>3524</v>
      </c>
      <c r="D178" s="3476">
        <v>-209</v>
      </c>
      <c r="E178" s="3476" t="s">
        <v>3525</v>
      </c>
      <c r="F178" s="3477">
        <v>33.64</v>
      </c>
    </row>
    <row r="179" spans="1:6">
      <c r="A179" s="3474">
        <v>176</v>
      </c>
      <c r="B179" s="3474">
        <v>1</v>
      </c>
      <c r="C179" s="3474" t="s">
        <v>3524</v>
      </c>
      <c r="D179" s="3476">
        <v>-101</v>
      </c>
      <c r="E179" s="3476" t="s">
        <v>3525</v>
      </c>
      <c r="F179" s="3477">
        <v>35.619999999999997</v>
      </c>
    </row>
    <row r="180" spans="1:6">
      <c r="A180" s="3474">
        <v>177</v>
      </c>
      <c r="B180" s="3474">
        <v>1</v>
      </c>
      <c r="C180" s="3474" t="s">
        <v>3524</v>
      </c>
      <c r="D180" s="3476">
        <v>-102</v>
      </c>
      <c r="E180" s="3476" t="s">
        <v>3525</v>
      </c>
      <c r="F180" s="3477">
        <v>14.52</v>
      </c>
    </row>
    <row r="181" spans="1:6">
      <c r="A181" s="3474">
        <v>178</v>
      </c>
      <c r="B181" s="3474">
        <v>1</v>
      </c>
      <c r="C181" s="3474" t="s">
        <v>3524</v>
      </c>
      <c r="D181" s="3476">
        <v>-103</v>
      </c>
      <c r="E181" s="3476" t="s">
        <v>3525</v>
      </c>
      <c r="F181" s="3477">
        <v>27.3</v>
      </c>
    </row>
    <row r="182" spans="1:6">
      <c r="A182" s="3474">
        <v>179</v>
      </c>
      <c r="B182" s="3474">
        <v>1</v>
      </c>
      <c r="C182" s="3474" t="s">
        <v>3524</v>
      </c>
      <c r="D182" s="3476">
        <v>-104</v>
      </c>
      <c r="E182" s="3476" t="s">
        <v>3525</v>
      </c>
      <c r="F182" s="3477">
        <v>27.3</v>
      </c>
    </row>
    <row r="183" spans="1:6">
      <c r="A183" s="3474">
        <v>180</v>
      </c>
      <c r="B183" s="3474">
        <v>1</v>
      </c>
      <c r="C183" s="3474" t="s">
        <v>3524</v>
      </c>
      <c r="D183" s="3476">
        <v>-105</v>
      </c>
      <c r="E183" s="3476" t="s">
        <v>3525</v>
      </c>
      <c r="F183" s="3477">
        <v>14.52</v>
      </c>
    </row>
    <row r="184" spans="1:6">
      <c r="A184" s="3474">
        <v>181</v>
      </c>
      <c r="B184" s="3474">
        <v>1</v>
      </c>
      <c r="C184" s="3474" t="s">
        <v>3524</v>
      </c>
      <c r="D184" s="3476">
        <v>-106</v>
      </c>
      <c r="E184" s="3476" t="s">
        <v>3525</v>
      </c>
      <c r="F184" s="3477">
        <v>27.3</v>
      </c>
    </row>
    <row r="185" spans="1:6">
      <c r="A185" s="3474">
        <v>182</v>
      </c>
      <c r="B185" s="3474">
        <v>1</v>
      </c>
      <c r="C185" s="3474" t="s">
        <v>3524</v>
      </c>
      <c r="D185" s="3476">
        <v>-107</v>
      </c>
      <c r="E185" s="3476" t="s">
        <v>3525</v>
      </c>
      <c r="F185" s="3477">
        <v>19.68</v>
      </c>
    </row>
    <row r="186" spans="1:6">
      <c r="A186" s="3474">
        <v>183</v>
      </c>
      <c r="B186" s="3474">
        <v>1</v>
      </c>
      <c r="C186" s="3474" t="s">
        <v>3524</v>
      </c>
      <c r="D186" s="3476">
        <v>-108</v>
      </c>
      <c r="E186" s="3476" t="s">
        <v>3525</v>
      </c>
      <c r="F186" s="3477">
        <v>13.86</v>
      </c>
    </row>
    <row r="187" spans="1:6">
      <c r="A187" s="3474">
        <v>184</v>
      </c>
      <c r="B187" s="3474">
        <v>1</v>
      </c>
      <c r="C187" s="3474" t="s">
        <v>3524</v>
      </c>
      <c r="D187" s="3476">
        <v>-109</v>
      </c>
      <c r="E187" s="3476" t="s">
        <v>3525</v>
      </c>
      <c r="F187" s="3477">
        <v>35.18</v>
      </c>
    </row>
    <row r="188" spans="1:6">
      <c r="A188" s="3474">
        <v>185</v>
      </c>
      <c r="B188" s="3474">
        <v>1</v>
      </c>
      <c r="C188" s="3474" t="s">
        <v>3524</v>
      </c>
      <c r="D188" s="3476">
        <v>-110</v>
      </c>
      <c r="E188" s="3476" t="s">
        <v>3525</v>
      </c>
      <c r="F188" s="3477">
        <v>27.82</v>
      </c>
    </row>
    <row r="189" spans="1:6">
      <c r="A189" s="3474">
        <v>186</v>
      </c>
      <c r="B189" s="3474">
        <v>1</v>
      </c>
      <c r="C189" s="3474" t="s">
        <v>3524</v>
      </c>
      <c r="D189" s="3476">
        <v>-111</v>
      </c>
      <c r="E189" s="3476" t="s">
        <v>3525</v>
      </c>
      <c r="F189" s="3477">
        <v>34.590000000000003</v>
      </c>
    </row>
    <row r="190" spans="1:6">
      <c r="A190" s="3474">
        <v>187</v>
      </c>
      <c r="B190" s="3474">
        <v>1</v>
      </c>
      <c r="C190" s="3474" t="s">
        <v>3524</v>
      </c>
      <c r="D190" s="3476">
        <v>-112</v>
      </c>
      <c r="E190" s="3476" t="s">
        <v>3525</v>
      </c>
      <c r="F190" s="3477">
        <v>33.64</v>
      </c>
    </row>
    <row r="191" spans="1:6">
      <c r="A191" s="3474">
        <v>188</v>
      </c>
      <c r="B191" s="3474">
        <v>1</v>
      </c>
      <c r="C191" s="3474" t="s">
        <v>3524</v>
      </c>
      <c r="D191" s="3476">
        <v>-113</v>
      </c>
      <c r="E191" s="3476" t="s">
        <v>3525</v>
      </c>
      <c r="F191" s="3477">
        <v>33.64</v>
      </c>
    </row>
    <row r="192" spans="1:6">
      <c r="A192" s="3474">
        <v>189</v>
      </c>
      <c r="B192" s="3474">
        <v>1</v>
      </c>
      <c r="C192" s="3474" t="s">
        <v>3524</v>
      </c>
      <c r="D192" s="3476">
        <v>-114</v>
      </c>
      <c r="E192" s="3476" t="s">
        <v>3525</v>
      </c>
      <c r="F192" s="3477">
        <v>34.590000000000003</v>
      </c>
    </row>
    <row r="193" spans="1:6">
      <c r="A193" s="3474">
        <v>190</v>
      </c>
      <c r="B193" s="3474">
        <v>1</v>
      </c>
      <c r="C193" s="3474" t="s">
        <v>3524</v>
      </c>
      <c r="D193" s="3476">
        <v>-115</v>
      </c>
      <c r="E193" s="3476" t="s">
        <v>3525</v>
      </c>
      <c r="F193" s="3477">
        <v>34.590000000000003</v>
      </c>
    </row>
    <row r="194" spans="1:6">
      <c r="A194" s="3474">
        <v>191</v>
      </c>
      <c r="B194" s="3474">
        <v>1</v>
      </c>
      <c r="C194" s="3474" t="s">
        <v>3524</v>
      </c>
      <c r="D194" s="3476">
        <v>-116</v>
      </c>
      <c r="E194" s="3476" t="s">
        <v>3525</v>
      </c>
      <c r="F194" s="3477">
        <v>33.64</v>
      </c>
    </row>
    <row r="195" spans="1:6">
      <c r="A195" s="3474">
        <v>192</v>
      </c>
      <c r="B195" s="3474">
        <v>1</v>
      </c>
      <c r="C195" s="3474" t="s">
        <v>3524</v>
      </c>
      <c r="D195" s="3476">
        <v>-117</v>
      </c>
      <c r="E195" s="3476" t="s">
        <v>3525</v>
      </c>
      <c r="F195" s="3477">
        <v>33.64</v>
      </c>
    </row>
    <row r="196" spans="1:6">
      <c r="A196" s="3474">
        <v>193</v>
      </c>
      <c r="B196" s="3474">
        <v>1</v>
      </c>
      <c r="C196" s="3474" t="s">
        <v>3524</v>
      </c>
      <c r="D196" s="3476">
        <v>-118</v>
      </c>
      <c r="E196" s="3476" t="s">
        <v>3525</v>
      </c>
      <c r="F196" s="3477">
        <v>44.5</v>
      </c>
    </row>
    <row r="197" spans="1:6">
      <c r="A197" s="3474">
        <v>194</v>
      </c>
      <c r="B197" s="3474">
        <v>1</v>
      </c>
      <c r="C197" s="3474" t="s">
        <v>3524</v>
      </c>
      <c r="D197" s="3476">
        <v>-119</v>
      </c>
      <c r="E197" s="3476" t="s">
        <v>3525</v>
      </c>
      <c r="F197" s="3477">
        <v>60.69</v>
      </c>
    </row>
    <row r="198" spans="1:6">
      <c r="A198" s="3474">
        <v>195</v>
      </c>
      <c r="B198" s="3474">
        <v>2</v>
      </c>
      <c r="C198" s="3474" t="s">
        <v>3524</v>
      </c>
      <c r="D198" s="3476">
        <v>-301</v>
      </c>
      <c r="E198" s="3478" t="s">
        <v>3526</v>
      </c>
      <c r="F198" s="3477">
        <v>27.95</v>
      </c>
    </row>
    <row r="199" spans="1:6">
      <c r="A199" s="3474">
        <v>196</v>
      </c>
      <c r="B199" s="3474">
        <v>2</v>
      </c>
      <c r="C199" s="3474" t="s">
        <v>3524</v>
      </c>
      <c r="D199" s="3476">
        <v>-302</v>
      </c>
      <c r="E199" s="3478" t="s">
        <v>3526</v>
      </c>
      <c r="F199" s="3477">
        <v>8.01</v>
      </c>
    </row>
    <row r="200" spans="1:6">
      <c r="A200" s="3474">
        <v>197</v>
      </c>
      <c r="B200" s="3474">
        <v>2</v>
      </c>
      <c r="C200" s="3474" t="s">
        <v>3524</v>
      </c>
      <c r="D200" s="3476">
        <v>-303</v>
      </c>
      <c r="E200" s="3478" t="s">
        <v>3526</v>
      </c>
      <c r="F200" s="3477">
        <v>32.79</v>
      </c>
    </row>
    <row r="201" spans="1:6">
      <c r="A201" s="3474">
        <v>198</v>
      </c>
      <c r="B201" s="3474">
        <v>2</v>
      </c>
      <c r="C201" s="3474" t="s">
        <v>3524</v>
      </c>
      <c r="D201" s="3476">
        <v>-304</v>
      </c>
      <c r="E201" s="3478" t="s">
        <v>3526</v>
      </c>
      <c r="F201" s="3477">
        <v>16.77</v>
      </c>
    </row>
    <row r="202" spans="1:6">
      <c r="A202" s="3474">
        <v>199</v>
      </c>
      <c r="B202" s="3474">
        <v>2</v>
      </c>
      <c r="C202" s="3474" t="s">
        <v>3524</v>
      </c>
      <c r="D202" s="3476">
        <v>-305</v>
      </c>
      <c r="E202" s="3478" t="s">
        <v>3526</v>
      </c>
      <c r="F202" s="3477">
        <v>13.9</v>
      </c>
    </row>
    <row r="203" spans="1:6">
      <c r="A203" s="3474">
        <v>200</v>
      </c>
      <c r="B203" s="3474">
        <v>2</v>
      </c>
      <c r="C203" s="3474" t="s">
        <v>3524</v>
      </c>
      <c r="D203" s="3476">
        <v>-306</v>
      </c>
      <c r="E203" s="3478" t="s">
        <v>3526</v>
      </c>
      <c r="F203" s="3477">
        <v>27</v>
      </c>
    </row>
    <row r="204" spans="1:6">
      <c r="A204" s="3474">
        <v>201</v>
      </c>
      <c r="B204" s="3474">
        <v>2</v>
      </c>
      <c r="C204" s="3474" t="s">
        <v>3524</v>
      </c>
      <c r="D204" s="3476">
        <v>-307</v>
      </c>
      <c r="E204" s="3478" t="s">
        <v>3526</v>
      </c>
      <c r="F204" s="3477">
        <v>22.28</v>
      </c>
    </row>
    <row r="205" spans="1:6">
      <c r="A205" s="3474">
        <v>202</v>
      </c>
      <c r="B205" s="3474">
        <v>2</v>
      </c>
      <c r="C205" s="3474" t="s">
        <v>3524</v>
      </c>
      <c r="D205" s="3476">
        <v>-308</v>
      </c>
      <c r="E205" s="3478" t="s">
        <v>3526</v>
      </c>
      <c r="F205" s="3477">
        <v>22.28</v>
      </c>
    </row>
    <row r="206" spans="1:6">
      <c r="A206" s="3474">
        <v>203</v>
      </c>
      <c r="B206" s="3474">
        <v>2</v>
      </c>
      <c r="C206" s="3474" t="s">
        <v>3524</v>
      </c>
      <c r="D206" s="3476">
        <v>-309</v>
      </c>
      <c r="E206" s="3478" t="s">
        <v>3526</v>
      </c>
      <c r="F206" s="3477">
        <v>22.15</v>
      </c>
    </row>
    <row r="207" spans="1:6">
      <c r="A207" s="3474">
        <v>204</v>
      </c>
      <c r="B207" s="3474">
        <v>2</v>
      </c>
      <c r="C207" s="3474" t="s">
        <v>3524</v>
      </c>
      <c r="D207" s="3476">
        <v>-310</v>
      </c>
      <c r="E207" s="3478" t="s">
        <v>3526</v>
      </c>
      <c r="F207" s="3477">
        <v>13.2</v>
      </c>
    </row>
    <row r="208" spans="1:6">
      <c r="A208" s="3474">
        <v>205</v>
      </c>
      <c r="B208" s="3474">
        <v>2</v>
      </c>
      <c r="C208" s="3474" t="s">
        <v>3524</v>
      </c>
      <c r="D208" s="3476">
        <v>-311</v>
      </c>
      <c r="E208" s="3478" t="s">
        <v>3526</v>
      </c>
      <c r="F208" s="3477">
        <v>13.2</v>
      </c>
    </row>
    <row r="209" spans="1:6">
      <c r="A209" s="3474">
        <v>206</v>
      </c>
      <c r="B209" s="3474">
        <v>2</v>
      </c>
      <c r="C209" s="3474" t="s">
        <v>3524</v>
      </c>
      <c r="D209" s="3476">
        <v>-312</v>
      </c>
      <c r="E209" s="3478" t="s">
        <v>3526</v>
      </c>
      <c r="F209" s="3477">
        <v>27.46</v>
      </c>
    </row>
    <row r="210" spans="1:6">
      <c r="A210" s="3474">
        <v>207</v>
      </c>
      <c r="B210" s="3474">
        <v>2</v>
      </c>
      <c r="C210" s="3474" t="s">
        <v>3524</v>
      </c>
      <c r="D210" s="3476">
        <v>-313</v>
      </c>
      <c r="E210" s="3478" t="s">
        <v>3526</v>
      </c>
      <c r="F210" s="3477">
        <v>15.75</v>
      </c>
    </row>
    <row r="211" spans="1:6">
      <c r="A211" s="3474">
        <v>208</v>
      </c>
      <c r="B211" s="3474">
        <v>2</v>
      </c>
      <c r="C211" s="3474" t="s">
        <v>3524</v>
      </c>
      <c r="D211" s="3476">
        <v>-314</v>
      </c>
      <c r="E211" s="3478" t="s">
        <v>3526</v>
      </c>
      <c r="F211" s="3477">
        <v>24.52</v>
      </c>
    </row>
    <row r="212" spans="1:6">
      <c r="A212" s="3474">
        <v>209</v>
      </c>
      <c r="B212" s="3474">
        <v>2</v>
      </c>
      <c r="C212" s="3474" t="s">
        <v>3524</v>
      </c>
      <c r="D212" s="3476">
        <v>-315</v>
      </c>
      <c r="E212" s="3478" t="s">
        <v>3526</v>
      </c>
      <c r="F212" s="3477">
        <v>16.940000000000001</v>
      </c>
    </row>
    <row r="213" spans="1:6">
      <c r="A213" s="3474">
        <v>210</v>
      </c>
      <c r="B213" s="3474">
        <v>2</v>
      </c>
      <c r="C213" s="3474" t="s">
        <v>3524</v>
      </c>
      <c r="D213" s="3476">
        <v>-316</v>
      </c>
      <c r="E213" s="3478" t="s">
        <v>3526</v>
      </c>
      <c r="F213" s="3477">
        <v>11.93</v>
      </c>
    </row>
    <row r="214" spans="1:6">
      <c r="A214" s="3474">
        <v>211</v>
      </c>
      <c r="B214" s="3474">
        <v>2</v>
      </c>
      <c r="C214" s="3474" t="s">
        <v>3524</v>
      </c>
      <c r="D214" s="3476">
        <v>-317</v>
      </c>
      <c r="E214" s="3478" t="s">
        <v>3526</v>
      </c>
      <c r="F214" s="3477">
        <v>38.49</v>
      </c>
    </row>
    <row r="215" spans="1:6">
      <c r="A215" s="3474">
        <v>212</v>
      </c>
      <c r="B215" s="3474">
        <v>2</v>
      </c>
      <c r="C215" s="3474" t="s">
        <v>3524</v>
      </c>
      <c r="D215" s="3476">
        <v>-318</v>
      </c>
      <c r="E215" s="3478" t="s">
        <v>3526</v>
      </c>
      <c r="F215" s="3477">
        <v>10.74</v>
      </c>
    </row>
    <row r="216" spans="1:6">
      <c r="A216" s="3474">
        <v>213</v>
      </c>
      <c r="B216" s="3474">
        <v>2</v>
      </c>
      <c r="C216" s="3474" t="s">
        <v>3524</v>
      </c>
      <c r="D216" s="3476">
        <v>-319</v>
      </c>
      <c r="E216" s="3478" t="s">
        <v>3526</v>
      </c>
      <c r="F216" s="3477">
        <v>10.98</v>
      </c>
    </row>
    <row r="217" spans="1:6">
      <c r="A217" s="3474">
        <v>214</v>
      </c>
      <c r="B217" s="3474">
        <v>2</v>
      </c>
      <c r="C217" s="3474" t="s">
        <v>3524</v>
      </c>
      <c r="D217" s="3476">
        <v>-320</v>
      </c>
      <c r="E217" s="3478" t="s">
        <v>3526</v>
      </c>
      <c r="F217" s="3477">
        <v>12.98</v>
      </c>
    </row>
    <row r="218" spans="1:6">
      <c r="A218" s="3474">
        <v>215</v>
      </c>
      <c r="B218" s="3474">
        <v>2</v>
      </c>
      <c r="C218" s="3474" t="s">
        <v>3524</v>
      </c>
      <c r="D218" s="3476">
        <v>-321</v>
      </c>
      <c r="E218" s="3478" t="s">
        <v>3526</v>
      </c>
      <c r="F218" s="3477">
        <v>12.78</v>
      </c>
    </row>
    <row r="219" spans="1:6">
      <c r="A219" s="3474">
        <v>216</v>
      </c>
      <c r="B219" s="3474">
        <v>2</v>
      </c>
      <c r="C219" s="3474" t="s">
        <v>3524</v>
      </c>
      <c r="D219" s="3476">
        <v>-322</v>
      </c>
      <c r="E219" s="3478" t="s">
        <v>3526</v>
      </c>
      <c r="F219" s="3477">
        <v>38.659999999999997</v>
      </c>
    </row>
    <row r="220" spans="1:6">
      <c r="A220" s="3474">
        <v>217</v>
      </c>
      <c r="B220" s="3474">
        <v>2</v>
      </c>
      <c r="C220" s="3474" t="s">
        <v>3524</v>
      </c>
      <c r="D220" s="3476">
        <v>-323</v>
      </c>
      <c r="E220" s="3478" t="s">
        <v>3526</v>
      </c>
      <c r="F220" s="3477">
        <v>21.62</v>
      </c>
    </row>
    <row r="221" spans="1:6">
      <c r="A221" s="3474">
        <v>218</v>
      </c>
      <c r="B221" s="3474">
        <v>2</v>
      </c>
      <c r="C221" s="3474" t="s">
        <v>3524</v>
      </c>
      <c r="D221" s="3476">
        <v>-324</v>
      </c>
      <c r="E221" s="3478" t="s">
        <v>3526</v>
      </c>
      <c r="F221" s="3477">
        <v>25.03</v>
      </c>
    </row>
    <row r="222" spans="1:6">
      <c r="A222" s="3474">
        <v>219</v>
      </c>
      <c r="B222" s="3474">
        <v>2</v>
      </c>
      <c r="C222" s="3474" t="s">
        <v>3524</v>
      </c>
      <c r="D222" s="3476">
        <v>-201</v>
      </c>
      <c r="E222" s="3478" t="s">
        <v>3526</v>
      </c>
      <c r="F222" s="3477">
        <v>8.01</v>
      </c>
    </row>
    <row r="223" spans="1:6">
      <c r="A223" s="3474">
        <v>220</v>
      </c>
      <c r="B223" s="3474">
        <v>2</v>
      </c>
      <c r="C223" s="3474" t="s">
        <v>3524</v>
      </c>
      <c r="D223" s="3479">
        <v>-202</v>
      </c>
      <c r="E223" s="3478" t="s">
        <v>3526</v>
      </c>
      <c r="F223" s="3477">
        <v>31.55</v>
      </c>
    </row>
    <row r="224" spans="1:6">
      <c r="A224" s="3474">
        <v>221</v>
      </c>
      <c r="B224" s="3474">
        <v>2</v>
      </c>
      <c r="C224" s="3474" t="s">
        <v>3524</v>
      </c>
      <c r="D224" s="3476">
        <v>-203</v>
      </c>
      <c r="E224" s="3478" t="s">
        <v>3526</v>
      </c>
      <c r="F224" s="3477">
        <v>17.21</v>
      </c>
    </row>
    <row r="225" spans="1:6">
      <c r="A225" s="3474">
        <v>222</v>
      </c>
      <c r="B225" s="3474">
        <v>2</v>
      </c>
      <c r="C225" s="3474" t="s">
        <v>3524</v>
      </c>
      <c r="D225" s="3476">
        <v>-204</v>
      </c>
      <c r="E225" s="3478" t="s">
        <v>3526</v>
      </c>
      <c r="F225" s="3477">
        <v>14.27</v>
      </c>
    </row>
    <row r="226" spans="1:6">
      <c r="A226" s="3474">
        <v>223</v>
      </c>
      <c r="B226" s="3474">
        <v>2</v>
      </c>
      <c r="C226" s="3474" t="s">
        <v>3524</v>
      </c>
      <c r="D226" s="3476">
        <v>-205</v>
      </c>
      <c r="E226" s="3478" t="s">
        <v>3526</v>
      </c>
      <c r="F226" s="3477">
        <v>23.2</v>
      </c>
    </row>
    <row r="227" spans="1:6">
      <c r="A227" s="3474">
        <v>224</v>
      </c>
      <c r="B227" s="3474">
        <v>2</v>
      </c>
      <c r="C227" s="3474" t="s">
        <v>3524</v>
      </c>
      <c r="D227" s="3476">
        <v>-206</v>
      </c>
      <c r="E227" s="3478" t="s">
        <v>3526</v>
      </c>
      <c r="F227" s="3477">
        <v>15.75</v>
      </c>
    </row>
    <row r="228" spans="1:6">
      <c r="A228" s="3474">
        <v>225</v>
      </c>
      <c r="B228" s="3474">
        <v>2</v>
      </c>
      <c r="C228" s="3474" t="s">
        <v>3524</v>
      </c>
      <c r="D228" s="3476">
        <v>-207</v>
      </c>
      <c r="E228" s="3478" t="s">
        <v>3526</v>
      </c>
      <c r="F228" s="3477">
        <v>24.52</v>
      </c>
    </row>
    <row r="229" spans="1:6">
      <c r="A229" s="3474">
        <v>226</v>
      </c>
      <c r="B229" s="3474">
        <v>2</v>
      </c>
      <c r="C229" s="3474" t="s">
        <v>3524</v>
      </c>
      <c r="D229" s="3476">
        <v>-208</v>
      </c>
      <c r="E229" s="3478" t="s">
        <v>3526</v>
      </c>
      <c r="F229" s="3477">
        <v>16.940000000000001</v>
      </c>
    </row>
    <row r="230" spans="1:6">
      <c r="A230" s="3474">
        <v>227</v>
      </c>
      <c r="B230" s="3474">
        <v>2</v>
      </c>
      <c r="C230" s="3474" t="s">
        <v>3524</v>
      </c>
      <c r="D230" s="3476">
        <v>-209</v>
      </c>
      <c r="E230" s="3478" t="s">
        <v>3526</v>
      </c>
      <c r="F230" s="3477">
        <v>11.93</v>
      </c>
    </row>
    <row r="231" spans="1:6">
      <c r="A231" s="3474">
        <v>228</v>
      </c>
      <c r="B231" s="3474">
        <v>2</v>
      </c>
      <c r="C231" s="3474" t="s">
        <v>3524</v>
      </c>
      <c r="D231" s="3476">
        <v>-211</v>
      </c>
      <c r="E231" s="3478" t="s">
        <v>3526</v>
      </c>
      <c r="F231" s="3477">
        <v>19.04</v>
      </c>
    </row>
    <row r="232" spans="1:6">
      <c r="A232" s="3474">
        <v>229</v>
      </c>
      <c r="B232" s="3474">
        <v>2</v>
      </c>
      <c r="C232" s="3474" t="s">
        <v>3524</v>
      </c>
      <c r="D232" s="3476">
        <v>-212</v>
      </c>
      <c r="E232" s="3478" t="s">
        <v>3526</v>
      </c>
      <c r="F232" s="3477">
        <v>41.7</v>
      </c>
    </row>
    <row r="233" spans="1:6">
      <c r="A233" s="3474">
        <v>230</v>
      </c>
      <c r="B233" s="3474">
        <v>2</v>
      </c>
      <c r="C233" s="3474" t="s">
        <v>3524</v>
      </c>
      <c r="D233" s="3476">
        <v>-213</v>
      </c>
      <c r="E233" s="3478" t="s">
        <v>3526</v>
      </c>
      <c r="F233" s="3477">
        <v>10.74</v>
      </c>
    </row>
    <row r="234" spans="1:6">
      <c r="A234" s="3474">
        <v>231</v>
      </c>
      <c r="B234" s="3474">
        <v>2</v>
      </c>
      <c r="C234" s="3474" t="s">
        <v>3524</v>
      </c>
      <c r="D234" s="3476">
        <v>-214</v>
      </c>
      <c r="E234" s="3478" t="s">
        <v>3526</v>
      </c>
      <c r="F234" s="3477">
        <v>10.98</v>
      </c>
    </row>
    <row r="235" spans="1:6">
      <c r="A235" s="3474">
        <v>232</v>
      </c>
      <c r="B235" s="3474">
        <v>2</v>
      </c>
      <c r="C235" s="3474" t="s">
        <v>3524</v>
      </c>
      <c r="D235" s="3476">
        <v>-215</v>
      </c>
      <c r="E235" s="3478" t="s">
        <v>3526</v>
      </c>
      <c r="F235" s="3477">
        <v>12.98</v>
      </c>
    </row>
    <row r="236" spans="1:6">
      <c r="A236" s="3474">
        <v>233</v>
      </c>
      <c r="B236" s="3474">
        <v>2</v>
      </c>
      <c r="C236" s="3474" t="s">
        <v>3524</v>
      </c>
      <c r="D236" s="3476">
        <v>-216</v>
      </c>
      <c r="E236" s="3478" t="s">
        <v>3526</v>
      </c>
      <c r="F236" s="3477">
        <v>12.78</v>
      </c>
    </row>
    <row r="237" spans="1:6">
      <c r="A237" s="3474">
        <v>234</v>
      </c>
      <c r="B237" s="3474">
        <v>2</v>
      </c>
      <c r="C237" s="3474" t="s">
        <v>3524</v>
      </c>
      <c r="D237" s="3476">
        <v>-217</v>
      </c>
      <c r="E237" s="3478" t="s">
        <v>3526</v>
      </c>
      <c r="F237" s="3477">
        <v>18.09</v>
      </c>
    </row>
    <row r="238" spans="1:6">
      <c r="A238" s="3474">
        <v>235</v>
      </c>
      <c r="B238" s="3474">
        <v>2</v>
      </c>
      <c r="C238" s="3474" t="s">
        <v>3524</v>
      </c>
      <c r="D238" s="3476">
        <v>-218</v>
      </c>
      <c r="E238" s="3478" t="s">
        <v>3526</v>
      </c>
      <c r="F238" s="3477">
        <v>25.03</v>
      </c>
    </row>
    <row r="239" spans="1:6">
      <c r="A239" s="3474">
        <v>236</v>
      </c>
      <c r="B239" s="3474">
        <v>2</v>
      </c>
      <c r="C239" s="3474" t="s">
        <v>3524</v>
      </c>
      <c r="D239" s="3476">
        <v>-101</v>
      </c>
      <c r="E239" s="3478" t="s">
        <v>3526</v>
      </c>
      <c r="F239" s="3477">
        <v>8.01</v>
      </c>
    </row>
    <row r="240" spans="1:6">
      <c r="A240" s="3474">
        <v>237</v>
      </c>
      <c r="B240" s="3474">
        <v>2</v>
      </c>
      <c r="C240" s="3474" t="s">
        <v>3524</v>
      </c>
      <c r="D240" s="3476">
        <v>-102</v>
      </c>
      <c r="E240" s="3478" t="s">
        <v>3526</v>
      </c>
      <c r="F240" s="3477">
        <v>31.55</v>
      </c>
    </row>
    <row r="241" spans="1:6">
      <c r="A241" s="3474">
        <v>238</v>
      </c>
      <c r="B241" s="3474">
        <v>2</v>
      </c>
      <c r="C241" s="3474" t="s">
        <v>3524</v>
      </c>
      <c r="D241" s="3476">
        <v>-103</v>
      </c>
      <c r="E241" s="3478" t="s">
        <v>3526</v>
      </c>
      <c r="F241" s="3477">
        <v>17.21</v>
      </c>
    </row>
    <row r="242" spans="1:6">
      <c r="A242" s="3474">
        <v>239</v>
      </c>
      <c r="B242" s="3474">
        <v>2</v>
      </c>
      <c r="C242" s="3474" t="s">
        <v>3524</v>
      </c>
      <c r="D242" s="3476">
        <v>-104</v>
      </c>
      <c r="E242" s="3478" t="s">
        <v>3526</v>
      </c>
      <c r="F242" s="3477">
        <v>14.27</v>
      </c>
    </row>
    <row r="243" spans="1:6">
      <c r="A243" s="3474">
        <v>240</v>
      </c>
      <c r="B243" s="3474">
        <v>2</v>
      </c>
      <c r="C243" s="3474" t="s">
        <v>3524</v>
      </c>
      <c r="D243" s="3476">
        <v>-105</v>
      </c>
      <c r="E243" s="3478" t="s">
        <v>3526</v>
      </c>
      <c r="F243" s="3477">
        <v>27.46</v>
      </c>
    </row>
    <row r="244" spans="1:6">
      <c r="A244" s="3474">
        <v>241</v>
      </c>
      <c r="B244" s="3474">
        <v>2</v>
      </c>
      <c r="C244" s="3474" t="s">
        <v>3524</v>
      </c>
      <c r="D244" s="3476">
        <v>-106</v>
      </c>
      <c r="E244" s="3478" t="s">
        <v>3526</v>
      </c>
      <c r="F244" s="3477">
        <v>22.67</v>
      </c>
    </row>
    <row r="245" spans="1:6">
      <c r="A245" s="3474">
        <v>242</v>
      </c>
      <c r="B245" s="3474">
        <v>2</v>
      </c>
      <c r="C245" s="3474" t="s">
        <v>3524</v>
      </c>
      <c r="D245" s="3476">
        <v>-107</v>
      </c>
      <c r="E245" s="3478" t="s">
        <v>3526</v>
      </c>
      <c r="F245" s="3477">
        <v>22.67</v>
      </c>
    </row>
    <row r="246" spans="1:6">
      <c r="A246" s="3474">
        <v>243</v>
      </c>
      <c r="B246" s="3474">
        <v>2</v>
      </c>
      <c r="C246" s="3474" t="s">
        <v>3524</v>
      </c>
      <c r="D246" s="3476">
        <v>-108</v>
      </c>
      <c r="E246" s="3478" t="s">
        <v>3526</v>
      </c>
      <c r="F246" s="3477">
        <v>26.97</v>
      </c>
    </row>
    <row r="247" spans="1:6">
      <c r="A247" s="3474">
        <v>244</v>
      </c>
      <c r="B247" s="3474">
        <v>2</v>
      </c>
      <c r="C247" s="3474" t="s">
        <v>3524</v>
      </c>
      <c r="D247" s="3476">
        <v>-109</v>
      </c>
      <c r="E247" s="3478" t="s">
        <v>3526</v>
      </c>
      <c r="F247" s="3477">
        <v>14.27</v>
      </c>
    </row>
    <row r="248" spans="1:6">
      <c r="A248" s="3474">
        <v>245</v>
      </c>
      <c r="B248" s="3474">
        <v>2</v>
      </c>
      <c r="C248" s="3474" t="s">
        <v>3524</v>
      </c>
      <c r="D248" s="3476">
        <v>-110</v>
      </c>
      <c r="E248" s="3478" t="s">
        <v>3526</v>
      </c>
      <c r="F248" s="3477">
        <v>14.27</v>
      </c>
    </row>
    <row r="249" spans="1:6">
      <c r="A249" s="3474">
        <v>246</v>
      </c>
      <c r="B249" s="3474">
        <v>2</v>
      </c>
      <c r="C249" s="3474" t="s">
        <v>3524</v>
      </c>
      <c r="D249" s="3476">
        <v>-111</v>
      </c>
      <c r="E249" s="3478" t="s">
        <v>3526</v>
      </c>
      <c r="F249" s="3477">
        <v>19.670000000000002</v>
      </c>
    </row>
    <row r="250" spans="1:6">
      <c r="A250" s="3474">
        <v>247</v>
      </c>
      <c r="B250" s="3474">
        <v>2</v>
      </c>
      <c r="C250" s="3474" t="s">
        <v>3524</v>
      </c>
      <c r="D250" s="3476">
        <v>-112</v>
      </c>
      <c r="E250" s="3478" t="s">
        <v>3526</v>
      </c>
      <c r="F250" s="3477">
        <v>35.18</v>
      </c>
    </row>
    <row r="251" spans="1:6">
      <c r="A251" s="3474">
        <v>248</v>
      </c>
      <c r="B251" s="3474">
        <v>2</v>
      </c>
      <c r="C251" s="3474" t="s">
        <v>3524</v>
      </c>
      <c r="D251" s="3476">
        <v>-113</v>
      </c>
      <c r="E251" s="3478" t="s">
        <v>3526</v>
      </c>
      <c r="F251" s="3477">
        <v>15.19</v>
      </c>
    </row>
    <row r="252" spans="1:6">
      <c r="A252" s="3474">
        <v>249</v>
      </c>
      <c r="B252" s="3474">
        <v>2</v>
      </c>
      <c r="C252" s="3474" t="s">
        <v>3524</v>
      </c>
      <c r="D252" s="3480">
        <v>-114</v>
      </c>
      <c r="E252" s="3478" t="s">
        <v>3526</v>
      </c>
      <c r="F252" s="3477">
        <v>24.56</v>
      </c>
    </row>
    <row r="253" spans="1:6">
      <c r="A253" s="3474">
        <v>250</v>
      </c>
      <c r="B253" s="3474">
        <v>2</v>
      </c>
      <c r="C253" s="3474" t="s">
        <v>3524</v>
      </c>
      <c r="D253" s="3476">
        <v>-115</v>
      </c>
      <c r="E253" s="3478" t="s">
        <v>3526</v>
      </c>
      <c r="F253" s="3477">
        <v>10.49</v>
      </c>
    </row>
    <row r="254" spans="1:6">
      <c r="A254" s="3474">
        <v>251</v>
      </c>
      <c r="B254" s="3474">
        <v>2</v>
      </c>
      <c r="C254" s="3474" t="s">
        <v>3524</v>
      </c>
      <c r="D254" s="3476">
        <v>-116</v>
      </c>
      <c r="E254" s="3478" t="s">
        <v>3526</v>
      </c>
      <c r="F254" s="3477">
        <v>32.18</v>
      </c>
    </row>
    <row r="255" spans="1:6">
      <c r="A255" s="3474">
        <v>252</v>
      </c>
      <c r="B255" s="3474">
        <v>2</v>
      </c>
      <c r="C255" s="3474" t="s">
        <v>3524</v>
      </c>
      <c r="D255" s="3476">
        <v>-117</v>
      </c>
      <c r="E255" s="3478" t="s">
        <v>3526</v>
      </c>
      <c r="F255" s="3477">
        <v>11.17</v>
      </c>
    </row>
    <row r="256" spans="1:6">
      <c r="A256" s="3474">
        <v>253</v>
      </c>
      <c r="B256" s="3474">
        <v>2</v>
      </c>
      <c r="C256" s="3474" t="s">
        <v>3524</v>
      </c>
      <c r="D256" s="3476">
        <v>-118</v>
      </c>
      <c r="E256" s="3478" t="s">
        <v>3526</v>
      </c>
      <c r="F256" s="3477">
        <v>22.15</v>
      </c>
    </row>
    <row r="257" spans="1:6">
      <c r="A257" s="3474">
        <v>254</v>
      </c>
      <c r="B257" s="3474">
        <v>2</v>
      </c>
      <c r="C257" s="3474" t="s">
        <v>3524</v>
      </c>
      <c r="D257" s="3476">
        <v>-119</v>
      </c>
      <c r="E257" s="3478" t="s">
        <v>3526</v>
      </c>
      <c r="F257" s="3477">
        <v>23.71</v>
      </c>
    </row>
    <row r="258" spans="1:6">
      <c r="A258" s="3474">
        <v>255</v>
      </c>
      <c r="B258" s="3474">
        <v>2</v>
      </c>
      <c r="C258" s="3474" t="s">
        <v>3524</v>
      </c>
      <c r="D258" s="3476">
        <v>-120</v>
      </c>
      <c r="E258" s="3478" t="s">
        <v>3526</v>
      </c>
      <c r="F258" s="3477">
        <v>19.600000000000001</v>
      </c>
    </row>
    <row r="259" spans="1:6">
      <c r="A259" s="3474">
        <v>256</v>
      </c>
      <c r="B259" s="3474">
        <v>2</v>
      </c>
      <c r="C259" s="3474" t="s">
        <v>3524</v>
      </c>
      <c r="D259" s="3476">
        <v>-121</v>
      </c>
      <c r="E259" s="3478" t="s">
        <v>3526</v>
      </c>
      <c r="F259" s="3477">
        <v>10.74</v>
      </c>
    </row>
    <row r="260" spans="1:6">
      <c r="A260" s="3474">
        <v>257</v>
      </c>
      <c r="B260" s="3474">
        <v>2</v>
      </c>
      <c r="C260" s="3474" t="s">
        <v>3524</v>
      </c>
      <c r="D260" s="3476">
        <v>-122</v>
      </c>
      <c r="E260" s="3478" t="s">
        <v>3526</v>
      </c>
      <c r="F260" s="3477">
        <v>10.98</v>
      </c>
    </row>
    <row r="261" spans="1:6">
      <c r="A261" s="3474">
        <v>258</v>
      </c>
      <c r="B261" s="3474">
        <v>2</v>
      </c>
      <c r="C261" s="3474" t="s">
        <v>3524</v>
      </c>
      <c r="D261" s="3476">
        <v>-123</v>
      </c>
      <c r="E261" s="3478" t="s">
        <v>3526</v>
      </c>
      <c r="F261" s="3477">
        <v>12.98</v>
      </c>
    </row>
    <row r="262" spans="1:6">
      <c r="A262" s="3474">
        <v>259</v>
      </c>
      <c r="B262" s="3474">
        <v>2</v>
      </c>
      <c r="C262" s="3474" t="s">
        <v>3524</v>
      </c>
      <c r="D262" s="3476">
        <v>-124</v>
      </c>
      <c r="E262" s="3478" t="s">
        <v>3526</v>
      </c>
      <c r="F262" s="3477">
        <v>12.78</v>
      </c>
    </row>
    <row r="263" spans="1:6">
      <c r="A263" s="3474">
        <v>260</v>
      </c>
      <c r="B263" s="3474">
        <v>2</v>
      </c>
      <c r="C263" s="3474" t="s">
        <v>3524</v>
      </c>
      <c r="D263" s="3476">
        <v>-125</v>
      </c>
      <c r="E263" s="3478" t="s">
        <v>3526</v>
      </c>
      <c r="F263" s="3477">
        <v>14.17</v>
      </c>
    </row>
    <row r="264" spans="1:6">
      <c r="A264" s="3474">
        <v>261</v>
      </c>
      <c r="B264" s="3474">
        <v>2</v>
      </c>
      <c r="C264" s="3474" t="s">
        <v>3524</v>
      </c>
      <c r="D264" s="3476">
        <v>-126</v>
      </c>
      <c r="E264" s="3478" t="s">
        <v>3526</v>
      </c>
      <c r="F264" s="3477">
        <v>20.67</v>
      </c>
    </row>
    <row r="265" spans="1:6">
      <c r="A265" s="3474">
        <v>262</v>
      </c>
      <c r="B265" s="3474">
        <v>3</v>
      </c>
      <c r="C265" s="3474" t="s">
        <v>3524</v>
      </c>
      <c r="D265" s="3476">
        <v>-301</v>
      </c>
      <c r="E265" s="3478" t="s">
        <v>3526</v>
      </c>
      <c r="F265" s="3477">
        <v>36.090000000000003</v>
      </c>
    </row>
    <row r="266" spans="1:6">
      <c r="A266" s="3474">
        <v>263</v>
      </c>
      <c r="B266" s="3474">
        <v>3</v>
      </c>
      <c r="C266" s="3474" t="s">
        <v>3524</v>
      </c>
      <c r="D266" s="3476">
        <v>-302</v>
      </c>
      <c r="E266" s="3478" t="s">
        <v>3526</v>
      </c>
      <c r="F266" s="3477">
        <v>34.83</v>
      </c>
    </row>
    <row r="267" spans="1:6">
      <c r="A267" s="3474">
        <v>264</v>
      </c>
      <c r="B267" s="3474">
        <v>3</v>
      </c>
      <c r="C267" s="3474" t="s">
        <v>3524</v>
      </c>
      <c r="D267" s="3476">
        <v>-303</v>
      </c>
      <c r="E267" s="3478" t="s">
        <v>3526</v>
      </c>
      <c r="F267" s="3477">
        <v>18.190000000000001</v>
      </c>
    </row>
    <row r="268" spans="1:6">
      <c r="A268" s="3474">
        <v>265</v>
      </c>
      <c r="B268" s="3474">
        <v>3</v>
      </c>
      <c r="C268" s="3474" t="s">
        <v>3524</v>
      </c>
      <c r="D268" s="3476">
        <v>-304</v>
      </c>
      <c r="E268" s="3478" t="s">
        <v>3526</v>
      </c>
      <c r="F268" s="3477">
        <v>34.409999999999997</v>
      </c>
    </row>
    <row r="269" spans="1:6">
      <c r="A269" s="3474">
        <v>266</v>
      </c>
      <c r="B269" s="3474">
        <v>3</v>
      </c>
      <c r="C269" s="3474" t="s">
        <v>3524</v>
      </c>
      <c r="D269" s="3476">
        <v>-305</v>
      </c>
      <c r="E269" s="3478" t="s">
        <v>3526</v>
      </c>
      <c r="F269" s="3477">
        <v>34.409999999999997</v>
      </c>
    </row>
    <row r="270" spans="1:6">
      <c r="A270" s="3474">
        <v>267</v>
      </c>
      <c r="B270" s="3474">
        <v>3</v>
      </c>
      <c r="C270" s="3474" t="s">
        <v>3524</v>
      </c>
      <c r="D270" s="3476">
        <v>-306</v>
      </c>
      <c r="E270" s="3478" t="s">
        <v>3526</v>
      </c>
      <c r="F270" s="3477">
        <v>25.22</v>
      </c>
    </row>
    <row r="271" spans="1:6">
      <c r="A271" s="3474">
        <v>268</v>
      </c>
      <c r="B271" s="3474">
        <v>3</v>
      </c>
      <c r="C271" s="3474" t="s">
        <v>3524</v>
      </c>
      <c r="D271" s="3476">
        <v>-307</v>
      </c>
      <c r="E271" s="3478" t="s">
        <v>3526</v>
      </c>
      <c r="F271" s="3477">
        <v>34.409999999999997</v>
      </c>
    </row>
    <row r="272" spans="1:6">
      <c r="A272" s="3474">
        <v>269</v>
      </c>
      <c r="B272" s="3474">
        <v>3</v>
      </c>
      <c r="C272" s="3474" t="s">
        <v>3524</v>
      </c>
      <c r="D272" s="3476">
        <v>-308</v>
      </c>
      <c r="E272" s="3478" t="s">
        <v>3526</v>
      </c>
      <c r="F272" s="3477">
        <v>35.909999999999997</v>
      </c>
    </row>
    <row r="273" spans="1:6">
      <c r="A273" s="3474">
        <v>270</v>
      </c>
      <c r="B273" s="3474">
        <v>3</v>
      </c>
      <c r="C273" s="3474" t="s">
        <v>3524</v>
      </c>
      <c r="D273" s="3476">
        <v>-309</v>
      </c>
      <c r="E273" s="3478" t="s">
        <v>3526</v>
      </c>
      <c r="F273" s="3477">
        <v>61.34</v>
      </c>
    </row>
    <row r="274" spans="1:6">
      <c r="A274" s="3474">
        <v>271</v>
      </c>
      <c r="B274" s="3474">
        <v>3</v>
      </c>
      <c r="C274" s="3474" t="s">
        <v>3524</v>
      </c>
      <c r="D274" s="3476">
        <v>-310</v>
      </c>
      <c r="E274" s="3478" t="s">
        <v>3526</v>
      </c>
      <c r="F274" s="3477">
        <v>36.380000000000003</v>
      </c>
    </row>
    <row r="275" spans="1:6">
      <c r="A275" s="3474">
        <v>272</v>
      </c>
      <c r="B275" s="3474">
        <v>3</v>
      </c>
      <c r="C275" s="3474" t="s">
        <v>3524</v>
      </c>
      <c r="D275" s="3476">
        <v>-311</v>
      </c>
      <c r="E275" s="3478" t="s">
        <v>3526</v>
      </c>
      <c r="F275" s="3477">
        <v>14.3</v>
      </c>
    </row>
    <row r="276" spans="1:6">
      <c r="A276" s="3474">
        <v>273</v>
      </c>
      <c r="B276" s="3474">
        <v>3</v>
      </c>
      <c r="C276" s="3474" t="s">
        <v>3524</v>
      </c>
      <c r="D276" s="3476">
        <v>-312</v>
      </c>
      <c r="E276" s="3478" t="s">
        <v>3526</v>
      </c>
      <c r="F276" s="3477">
        <v>27.72</v>
      </c>
    </row>
    <row r="277" spans="1:6">
      <c r="A277" s="3474">
        <v>274</v>
      </c>
      <c r="B277" s="3474">
        <v>3</v>
      </c>
      <c r="C277" s="3474" t="s">
        <v>3524</v>
      </c>
      <c r="D277" s="3476">
        <v>-313</v>
      </c>
      <c r="E277" s="3478" t="s">
        <v>3526</v>
      </c>
      <c r="F277" s="3477">
        <v>27.72</v>
      </c>
    </row>
    <row r="278" spans="1:6">
      <c r="A278" s="3474">
        <v>275</v>
      </c>
      <c r="B278" s="3474">
        <v>3</v>
      </c>
      <c r="C278" s="3474" t="s">
        <v>3524</v>
      </c>
      <c r="D278" s="3476">
        <v>-314</v>
      </c>
      <c r="E278" s="3478" t="s">
        <v>3526</v>
      </c>
      <c r="F278" s="3477">
        <v>14.72</v>
      </c>
    </row>
    <row r="279" spans="1:6">
      <c r="A279" s="3474">
        <v>276</v>
      </c>
      <c r="B279" s="3474">
        <v>3</v>
      </c>
      <c r="C279" s="3474" t="s">
        <v>3524</v>
      </c>
      <c r="D279" s="3476">
        <v>-315</v>
      </c>
      <c r="E279" s="3478" t="s">
        <v>3526</v>
      </c>
      <c r="F279" s="3477">
        <v>27.93</v>
      </c>
    </row>
    <row r="280" spans="1:6">
      <c r="A280" s="3474">
        <v>277</v>
      </c>
      <c r="B280" s="3474">
        <v>3</v>
      </c>
      <c r="C280" s="3474" t="s">
        <v>3524</v>
      </c>
      <c r="D280" s="3476">
        <v>-316</v>
      </c>
      <c r="E280" s="3478" t="s">
        <v>3526</v>
      </c>
      <c r="F280" s="3477">
        <v>27.93</v>
      </c>
    </row>
    <row r="281" spans="1:6">
      <c r="A281" s="3474">
        <v>278</v>
      </c>
      <c r="B281" s="3474">
        <v>3</v>
      </c>
      <c r="C281" s="3474" t="s">
        <v>3524</v>
      </c>
      <c r="D281" s="3476">
        <v>-317</v>
      </c>
      <c r="E281" s="3478" t="s">
        <v>3526</v>
      </c>
      <c r="F281" s="3477">
        <v>14.72</v>
      </c>
    </row>
    <row r="282" spans="1:6">
      <c r="A282" s="3474">
        <v>279</v>
      </c>
      <c r="B282" s="3474">
        <v>3</v>
      </c>
      <c r="C282" s="3474" t="s">
        <v>3524</v>
      </c>
      <c r="D282" s="3476">
        <v>-201</v>
      </c>
      <c r="E282" s="3478" t="s">
        <v>3526</v>
      </c>
      <c r="F282" s="3477">
        <v>36.090000000000003</v>
      </c>
    </row>
    <row r="283" spans="1:6">
      <c r="A283" s="3474">
        <v>280</v>
      </c>
      <c r="B283" s="3474">
        <v>3</v>
      </c>
      <c r="C283" s="3474" t="s">
        <v>3524</v>
      </c>
      <c r="D283" s="3476">
        <v>-202</v>
      </c>
      <c r="E283" s="3478" t="s">
        <v>3526</v>
      </c>
      <c r="F283" s="3477">
        <v>34.83</v>
      </c>
    </row>
    <row r="284" spans="1:6">
      <c r="A284" s="3474">
        <v>281</v>
      </c>
      <c r="B284" s="3474">
        <v>3</v>
      </c>
      <c r="C284" s="3474" t="s">
        <v>3524</v>
      </c>
      <c r="D284" s="3476">
        <v>-203</v>
      </c>
      <c r="E284" s="3478" t="s">
        <v>3526</v>
      </c>
      <c r="F284" s="3477">
        <v>18.190000000000001</v>
      </c>
    </row>
    <row r="285" spans="1:6">
      <c r="A285" s="3474">
        <v>282</v>
      </c>
      <c r="B285" s="3474">
        <v>3</v>
      </c>
      <c r="C285" s="3474" t="s">
        <v>3524</v>
      </c>
      <c r="D285" s="3476">
        <v>-204</v>
      </c>
      <c r="E285" s="3478" t="s">
        <v>3526</v>
      </c>
      <c r="F285" s="3477">
        <v>34.409999999999997</v>
      </c>
    </row>
    <row r="286" spans="1:6">
      <c r="A286" s="3474">
        <v>283</v>
      </c>
      <c r="B286" s="3474">
        <v>3</v>
      </c>
      <c r="C286" s="3474" t="s">
        <v>3524</v>
      </c>
      <c r="D286" s="3476">
        <v>-205</v>
      </c>
      <c r="E286" s="3478" t="s">
        <v>3526</v>
      </c>
      <c r="F286" s="3477">
        <v>34.409999999999997</v>
      </c>
    </row>
    <row r="287" spans="1:6">
      <c r="A287" s="3474">
        <v>284</v>
      </c>
      <c r="B287" s="3474">
        <v>3</v>
      </c>
      <c r="C287" s="3474" t="s">
        <v>3524</v>
      </c>
      <c r="D287" s="3476">
        <v>-206</v>
      </c>
      <c r="E287" s="3478" t="s">
        <v>3526</v>
      </c>
      <c r="F287" s="3477">
        <v>61.76</v>
      </c>
    </row>
    <row r="288" spans="1:6">
      <c r="A288" s="3474">
        <v>285</v>
      </c>
      <c r="B288" s="3474">
        <v>3</v>
      </c>
      <c r="C288" s="3474" t="s">
        <v>3524</v>
      </c>
      <c r="D288" s="3476">
        <v>-207</v>
      </c>
      <c r="E288" s="3478" t="s">
        <v>3526</v>
      </c>
      <c r="F288" s="3477">
        <v>36.380000000000003</v>
      </c>
    </row>
    <row r="289" spans="1:6">
      <c r="A289" s="3474">
        <v>286</v>
      </c>
      <c r="B289" s="3474">
        <v>3</v>
      </c>
      <c r="C289" s="3474" t="s">
        <v>3524</v>
      </c>
      <c r="D289" s="3476">
        <v>-208</v>
      </c>
      <c r="E289" s="3478" t="s">
        <v>3526</v>
      </c>
      <c r="F289" s="3477">
        <v>14.3</v>
      </c>
    </row>
    <row r="290" spans="1:6">
      <c r="A290" s="3474">
        <v>287</v>
      </c>
      <c r="B290" s="3474">
        <v>3</v>
      </c>
      <c r="C290" s="3474" t="s">
        <v>3524</v>
      </c>
      <c r="D290" s="3476">
        <v>-209</v>
      </c>
      <c r="E290" s="3478" t="s">
        <v>3526</v>
      </c>
      <c r="F290" s="3477">
        <v>15.04</v>
      </c>
    </row>
    <row r="291" spans="1:6">
      <c r="A291" s="3474">
        <v>288</v>
      </c>
      <c r="B291" s="3474">
        <v>3</v>
      </c>
      <c r="C291" s="3474" t="s">
        <v>3524</v>
      </c>
      <c r="D291" s="3476">
        <v>-210</v>
      </c>
      <c r="E291" s="3478" t="s">
        <v>3526</v>
      </c>
      <c r="F291" s="3477">
        <v>27.93</v>
      </c>
    </row>
    <row r="292" spans="1:6">
      <c r="A292" s="3474">
        <v>289</v>
      </c>
      <c r="B292" s="3474">
        <v>3</v>
      </c>
      <c r="C292" s="3474" t="s">
        <v>3524</v>
      </c>
      <c r="D292" s="3476">
        <v>-211</v>
      </c>
      <c r="E292" s="3478" t="s">
        <v>3526</v>
      </c>
      <c r="F292" s="3477">
        <v>15.04</v>
      </c>
    </row>
    <row r="293" spans="1:6">
      <c r="A293" s="3474">
        <v>290</v>
      </c>
      <c r="B293" s="3474">
        <v>4</v>
      </c>
      <c r="C293" s="3474" t="s">
        <v>3524</v>
      </c>
      <c r="D293" s="3476">
        <v>-301</v>
      </c>
      <c r="E293" s="3478" t="s">
        <v>3526</v>
      </c>
      <c r="F293" s="3477">
        <v>19.829999999999998</v>
      </c>
    </row>
    <row r="294" spans="1:6">
      <c r="A294" s="3474">
        <v>291</v>
      </c>
      <c r="B294" s="3474">
        <v>4</v>
      </c>
      <c r="C294" s="3474" t="s">
        <v>3524</v>
      </c>
      <c r="D294" s="3476">
        <v>-302</v>
      </c>
      <c r="E294" s="3478" t="s">
        <v>3526</v>
      </c>
      <c r="F294" s="3477">
        <v>16.43</v>
      </c>
    </row>
    <row r="295" spans="1:6">
      <c r="A295" s="3474">
        <v>292</v>
      </c>
      <c r="B295" s="3474">
        <v>4</v>
      </c>
      <c r="C295" s="3474" t="s">
        <v>3524</v>
      </c>
      <c r="D295" s="3476">
        <v>-303</v>
      </c>
      <c r="E295" s="3478" t="s">
        <v>3526</v>
      </c>
      <c r="F295" s="3477">
        <v>16.38</v>
      </c>
    </row>
    <row r="296" spans="1:6">
      <c r="A296" s="3474">
        <v>293</v>
      </c>
      <c r="B296" s="3474">
        <v>4</v>
      </c>
      <c r="C296" s="3474" t="s">
        <v>3524</v>
      </c>
      <c r="D296" s="3476">
        <v>-304</v>
      </c>
      <c r="E296" s="3478" t="s">
        <v>3526</v>
      </c>
      <c r="F296" s="3477">
        <v>19.09</v>
      </c>
    </row>
    <row r="297" spans="1:6">
      <c r="A297" s="3474">
        <v>294</v>
      </c>
      <c r="B297" s="3474">
        <v>4</v>
      </c>
      <c r="C297" s="3474" t="s">
        <v>3524</v>
      </c>
      <c r="D297" s="3476">
        <v>-305</v>
      </c>
      <c r="E297" s="3478" t="s">
        <v>3526</v>
      </c>
      <c r="F297" s="3477">
        <v>21.33</v>
      </c>
    </row>
    <row r="298" spans="1:6">
      <c r="A298" s="3474">
        <v>295</v>
      </c>
      <c r="B298" s="3474">
        <v>4</v>
      </c>
      <c r="C298" s="3474" t="s">
        <v>3524</v>
      </c>
      <c r="D298" s="3476">
        <v>-306</v>
      </c>
      <c r="E298" s="3478" t="s">
        <v>3526</v>
      </c>
      <c r="F298" s="3477">
        <v>25.09</v>
      </c>
    </row>
    <row r="299" spans="1:6">
      <c r="A299" s="3474">
        <v>296</v>
      </c>
      <c r="B299" s="3474">
        <v>4</v>
      </c>
      <c r="C299" s="3474" t="s">
        <v>3524</v>
      </c>
      <c r="D299" s="3476">
        <v>-307</v>
      </c>
      <c r="E299" s="3478" t="s">
        <v>3526</v>
      </c>
      <c r="F299" s="3477">
        <v>14.15</v>
      </c>
    </row>
    <row r="300" spans="1:6">
      <c r="A300" s="3474">
        <v>297</v>
      </c>
      <c r="B300" s="3474">
        <v>4</v>
      </c>
      <c r="C300" s="3474" t="s">
        <v>3524</v>
      </c>
      <c r="D300" s="3476">
        <v>-308</v>
      </c>
      <c r="E300" s="3478" t="s">
        <v>3526</v>
      </c>
      <c r="F300" s="3477">
        <v>9.0399999999999991</v>
      </c>
    </row>
    <row r="301" spans="1:6">
      <c r="A301" s="3474">
        <v>298</v>
      </c>
      <c r="B301" s="3474">
        <v>4</v>
      </c>
      <c r="C301" s="3474" t="s">
        <v>3524</v>
      </c>
      <c r="D301" s="3476">
        <v>-309</v>
      </c>
      <c r="E301" s="3478" t="s">
        <v>3526</v>
      </c>
      <c r="F301" s="3477">
        <v>28.72</v>
      </c>
    </row>
    <row r="302" spans="1:6">
      <c r="A302" s="3474">
        <v>299</v>
      </c>
      <c r="B302" s="3474">
        <v>4</v>
      </c>
      <c r="C302" s="3474" t="s">
        <v>3524</v>
      </c>
      <c r="D302" s="3476">
        <v>-310</v>
      </c>
      <c r="E302" s="3478" t="s">
        <v>3526</v>
      </c>
      <c r="F302" s="3477">
        <v>24.75</v>
      </c>
    </row>
    <row r="303" spans="1:6">
      <c r="A303" s="3474">
        <v>300</v>
      </c>
      <c r="B303" s="3474">
        <v>4</v>
      </c>
      <c r="C303" s="3474" t="s">
        <v>3524</v>
      </c>
      <c r="D303" s="3476">
        <v>-311</v>
      </c>
      <c r="E303" s="3478" t="s">
        <v>3526</v>
      </c>
      <c r="F303" s="3477">
        <v>24.47</v>
      </c>
    </row>
    <row r="304" spans="1:6">
      <c r="A304" s="3474">
        <v>301</v>
      </c>
      <c r="B304" s="3474">
        <v>4</v>
      </c>
      <c r="C304" s="3474" t="s">
        <v>3524</v>
      </c>
      <c r="D304" s="3476">
        <v>-312</v>
      </c>
      <c r="E304" s="3478" t="s">
        <v>3526</v>
      </c>
      <c r="F304" s="3477">
        <v>28.72</v>
      </c>
    </row>
    <row r="305" spans="1:6">
      <c r="A305" s="3474">
        <v>302</v>
      </c>
      <c r="B305" s="3474">
        <v>4</v>
      </c>
      <c r="C305" s="3474" t="s">
        <v>3524</v>
      </c>
      <c r="D305" s="3476">
        <v>-313</v>
      </c>
      <c r="E305" s="3478" t="s">
        <v>3526</v>
      </c>
      <c r="F305" s="3477">
        <v>8.11</v>
      </c>
    </row>
    <row r="306" spans="1:6">
      <c r="A306" s="3474">
        <v>303</v>
      </c>
      <c r="B306" s="3474">
        <v>4</v>
      </c>
      <c r="C306" s="3474" t="s">
        <v>3524</v>
      </c>
      <c r="D306" s="3476">
        <v>-314</v>
      </c>
      <c r="E306" s="3478" t="s">
        <v>3526</v>
      </c>
      <c r="F306" s="3477">
        <v>14.27</v>
      </c>
    </row>
    <row r="307" spans="1:6">
      <c r="A307" s="3474">
        <v>304</v>
      </c>
      <c r="B307" s="3474">
        <v>4</v>
      </c>
      <c r="C307" s="3474" t="s">
        <v>3524</v>
      </c>
      <c r="D307" s="3476">
        <v>-315</v>
      </c>
      <c r="E307" s="3478" t="s">
        <v>3526</v>
      </c>
      <c r="F307" s="3477">
        <v>25.35</v>
      </c>
    </row>
    <row r="308" spans="1:6">
      <c r="A308" s="3474">
        <v>305</v>
      </c>
      <c r="B308" s="3474">
        <v>4</v>
      </c>
      <c r="C308" s="3474" t="s">
        <v>3524</v>
      </c>
      <c r="D308" s="3476">
        <v>-316</v>
      </c>
      <c r="E308" s="3478" t="s">
        <v>3526</v>
      </c>
      <c r="F308" s="3477">
        <v>21.33</v>
      </c>
    </row>
    <row r="309" spans="1:6">
      <c r="A309" s="3474">
        <v>306</v>
      </c>
      <c r="B309" s="3474">
        <v>4</v>
      </c>
      <c r="C309" s="3474" t="s">
        <v>3524</v>
      </c>
      <c r="D309" s="3476">
        <v>-317</v>
      </c>
      <c r="E309" s="3478" t="s">
        <v>3526</v>
      </c>
      <c r="F309" s="3477">
        <v>19.260000000000002</v>
      </c>
    </row>
    <row r="310" spans="1:6">
      <c r="A310" s="3474">
        <v>307</v>
      </c>
      <c r="B310" s="3474">
        <v>4</v>
      </c>
      <c r="C310" s="3474" t="s">
        <v>3524</v>
      </c>
      <c r="D310" s="3476">
        <v>-318</v>
      </c>
      <c r="E310" s="3478" t="s">
        <v>3526</v>
      </c>
      <c r="F310" s="3477">
        <v>16.239999999999998</v>
      </c>
    </row>
    <row r="311" spans="1:6">
      <c r="A311" s="3474">
        <v>308</v>
      </c>
      <c r="B311" s="3474">
        <v>4</v>
      </c>
      <c r="C311" s="3474" t="s">
        <v>3524</v>
      </c>
      <c r="D311" s="3476">
        <v>-319</v>
      </c>
      <c r="E311" s="3478" t="s">
        <v>3526</v>
      </c>
      <c r="F311" s="3477">
        <v>16.43</v>
      </c>
    </row>
    <row r="312" spans="1:6">
      <c r="A312" s="3474">
        <v>309</v>
      </c>
      <c r="B312" s="3474">
        <v>4</v>
      </c>
      <c r="C312" s="3474" t="s">
        <v>3524</v>
      </c>
      <c r="D312" s="3476">
        <v>-320</v>
      </c>
      <c r="E312" s="3478" t="s">
        <v>3526</v>
      </c>
      <c r="F312" s="3477">
        <v>28.13</v>
      </c>
    </row>
    <row r="313" spans="1:6">
      <c r="A313" s="3474">
        <v>310</v>
      </c>
      <c r="B313" s="3474">
        <v>4</v>
      </c>
      <c r="C313" s="3474" t="s">
        <v>3524</v>
      </c>
      <c r="D313" s="3476">
        <v>-321</v>
      </c>
      <c r="E313" s="3478" t="s">
        <v>3526</v>
      </c>
      <c r="F313" s="3477">
        <v>21.99</v>
      </c>
    </row>
    <row r="314" spans="1:6">
      <c r="A314" s="3474">
        <v>311</v>
      </c>
      <c r="B314" s="3474">
        <v>4</v>
      </c>
      <c r="C314" s="3474" t="s">
        <v>3524</v>
      </c>
      <c r="D314" s="3476">
        <v>-322</v>
      </c>
      <c r="E314" s="3478" t="s">
        <v>3526</v>
      </c>
      <c r="F314" s="3477">
        <v>25.58</v>
      </c>
    </row>
    <row r="315" spans="1:6">
      <c r="A315" s="3474">
        <v>312</v>
      </c>
      <c r="B315" s="3474">
        <v>4</v>
      </c>
      <c r="C315" s="3474" t="s">
        <v>3524</v>
      </c>
      <c r="D315" s="3476">
        <v>-323</v>
      </c>
      <c r="E315" s="3478" t="s">
        <v>3526</v>
      </c>
      <c r="F315" s="3477">
        <v>22.64</v>
      </c>
    </row>
    <row r="316" spans="1:6">
      <c r="A316" s="3474">
        <v>313</v>
      </c>
      <c r="B316" s="3474">
        <v>4</v>
      </c>
      <c r="C316" s="3474" t="s">
        <v>3524</v>
      </c>
      <c r="D316" s="3476">
        <v>-324</v>
      </c>
      <c r="E316" s="3478" t="s">
        <v>3526</v>
      </c>
      <c r="F316" s="3477">
        <v>16.64</v>
      </c>
    </row>
    <row r="317" spans="1:6">
      <c r="A317" s="3474">
        <v>314</v>
      </c>
      <c r="B317" s="3474">
        <v>4</v>
      </c>
      <c r="C317" s="3474" t="s">
        <v>3524</v>
      </c>
      <c r="D317" s="3476">
        <v>-325</v>
      </c>
      <c r="E317" s="3478" t="s">
        <v>3526</v>
      </c>
      <c r="F317" s="3477">
        <v>35.76</v>
      </c>
    </row>
    <row r="318" spans="1:6">
      <c r="A318" s="3474">
        <v>315</v>
      </c>
      <c r="B318" s="3474">
        <v>4</v>
      </c>
      <c r="C318" s="3474" t="s">
        <v>3524</v>
      </c>
      <c r="D318" s="3476">
        <v>-326</v>
      </c>
      <c r="E318" s="3478" t="s">
        <v>3526</v>
      </c>
      <c r="F318" s="3477">
        <v>35.76</v>
      </c>
    </row>
    <row r="319" spans="1:6">
      <c r="A319" s="3474">
        <v>316</v>
      </c>
      <c r="B319" s="3474">
        <v>4</v>
      </c>
      <c r="C319" s="3474" t="s">
        <v>3524</v>
      </c>
      <c r="D319" s="3476">
        <v>-101</v>
      </c>
      <c r="E319" s="3478" t="s">
        <v>3526</v>
      </c>
      <c r="F319" s="3477">
        <v>23.87</v>
      </c>
    </row>
    <row r="320" spans="1:6">
      <c r="A320" s="3474">
        <v>317</v>
      </c>
      <c r="B320" s="3474">
        <v>4</v>
      </c>
      <c r="C320" s="3474" t="s">
        <v>3524</v>
      </c>
      <c r="D320" s="3476">
        <v>-102</v>
      </c>
      <c r="E320" s="3478" t="s">
        <v>3526</v>
      </c>
      <c r="F320" s="3477">
        <v>15.12</v>
      </c>
    </row>
    <row r="321" spans="1:6">
      <c r="A321" s="3474">
        <v>318</v>
      </c>
      <c r="B321" s="3474">
        <v>4</v>
      </c>
      <c r="C321" s="3474" t="s">
        <v>3524</v>
      </c>
      <c r="D321" s="3476">
        <v>-103</v>
      </c>
      <c r="E321" s="3478" t="s">
        <v>3526</v>
      </c>
      <c r="F321" s="3477">
        <v>18.09</v>
      </c>
    </row>
    <row r="322" spans="1:6">
      <c r="A322" s="3474">
        <v>319</v>
      </c>
      <c r="B322" s="3474">
        <v>4</v>
      </c>
      <c r="C322" s="3474" t="s">
        <v>3524</v>
      </c>
      <c r="D322" s="3476">
        <v>-104</v>
      </c>
      <c r="E322" s="3478" t="s">
        <v>3526</v>
      </c>
      <c r="F322" s="3477">
        <v>16.43</v>
      </c>
    </row>
    <row r="323" spans="1:6">
      <c r="A323" s="3474">
        <v>320</v>
      </c>
      <c r="B323" s="3474">
        <v>4</v>
      </c>
      <c r="C323" s="3474" t="s">
        <v>3524</v>
      </c>
      <c r="D323" s="3476">
        <v>-105</v>
      </c>
      <c r="E323" s="3478" t="s">
        <v>3526</v>
      </c>
      <c r="F323" s="3477">
        <v>19.45</v>
      </c>
    </row>
    <row r="324" spans="1:6">
      <c r="A324" s="3474">
        <v>321</v>
      </c>
      <c r="B324" s="3474">
        <v>4</v>
      </c>
      <c r="C324" s="3474" t="s">
        <v>3524</v>
      </c>
      <c r="D324" s="3476">
        <v>-106</v>
      </c>
      <c r="E324" s="3478" t="s">
        <v>3526</v>
      </c>
      <c r="F324" s="3477">
        <v>19.239999999999998</v>
      </c>
    </row>
    <row r="325" spans="1:6">
      <c r="A325" s="3474">
        <v>322</v>
      </c>
      <c r="B325" s="3474">
        <v>4</v>
      </c>
      <c r="C325" s="3474" t="s">
        <v>3524</v>
      </c>
      <c r="D325" s="3476">
        <v>-107</v>
      </c>
      <c r="E325" s="3478" t="s">
        <v>3526</v>
      </c>
      <c r="F325" s="3477">
        <v>21.33</v>
      </c>
    </row>
    <row r="326" spans="1:6">
      <c r="A326" s="3474">
        <v>323</v>
      </c>
      <c r="B326" s="3474">
        <v>4</v>
      </c>
      <c r="C326" s="3474" t="s">
        <v>3524</v>
      </c>
      <c r="D326" s="3476">
        <v>-108</v>
      </c>
      <c r="E326" s="3478" t="s">
        <v>3526</v>
      </c>
      <c r="F326" s="3477">
        <v>25.58</v>
      </c>
    </row>
    <row r="327" spans="1:6">
      <c r="A327" s="3474">
        <v>324</v>
      </c>
      <c r="B327" s="3474">
        <v>4</v>
      </c>
      <c r="C327" s="3474" t="s">
        <v>3524</v>
      </c>
      <c r="D327" s="3476">
        <v>-109</v>
      </c>
      <c r="E327" s="3478" t="s">
        <v>3526</v>
      </c>
      <c r="F327" s="3477">
        <v>14.27</v>
      </c>
    </row>
    <row r="328" spans="1:6">
      <c r="A328" s="3474">
        <v>325</v>
      </c>
      <c r="B328" s="3474">
        <v>4</v>
      </c>
      <c r="C328" s="3474" t="s">
        <v>3524</v>
      </c>
      <c r="D328" s="3476">
        <v>-110</v>
      </c>
      <c r="E328" s="3478" t="s">
        <v>3526</v>
      </c>
      <c r="F328" s="3477">
        <v>8.85</v>
      </c>
    </row>
    <row r="329" spans="1:6">
      <c r="A329" s="3474">
        <v>326</v>
      </c>
      <c r="B329" s="3474">
        <v>4</v>
      </c>
      <c r="C329" s="3474" t="s">
        <v>3524</v>
      </c>
      <c r="D329" s="3476">
        <v>-111</v>
      </c>
      <c r="E329" s="3478" t="s">
        <v>3526</v>
      </c>
      <c r="F329" s="3477">
        <v>36.47</v>
      </c>
    </row>
    <row r="330" spans="1:6">
      <c r="A330" s="3474">
        <v>327</v>
      </c>
      <c r="B330" s="3474">
        <v>4</v>
      </c>
      <c r="C330" s="3474" t="s">
        <v>3524</v>
      </c>
      <c r="D330" s="3476">
        <v>-112</v>
      </c>
      <c r="E330" s="3478" t="s">
        <v>3526</v>
      </c>
      <c r="F330" s="3477">
        <v>42.23</v>
      </c>
    </row>
    <row r="331" spans="1:6">
      <c r="A331" s="3474">
        <v>328</v>
      </c>
      <c r="B331" s="3474">
        <v>4</v>
      </c>
      <c r="C331" s="3474" t="s">
        <v>3524</v>
      </c>
      <c r="D331" s="3476">
        <v>-113</v>
      </c>
      <c r="E331" s="3478" t="s">
        <v>3526</v>
      </c>
      <c r="F331" s="3477">
        <v>13.74</v>
      </c>
    </row>
    <row r="332" spans="1:6">
      <c r="A332" s="3474">
        <v>329</v>
      </c>
      <c r="B332" s="3474">
        <v>4</v>
      </c>
      <c r="C332" s="3474" t="s">
        <v>3524</v>
      </c>
      <c r="D332" s="3476">
        <v>-114</v>
      </c>
      <c r="E332" s="3478" t="s">
        <v>3526</v>
      </c>
      <c r="F332" s="3477">
        <v>17.62</v>
      </c>
    </row>
    <row r="333" spans="1:6">
      <c r="A333" s="3474">
        <v>330</v>
      </c>
      <c r="B333" s="3474">
        <v>4</v>
      </c>
      <c r="C333" s="3474" t="s">
        <v>3524</v>
      </c>
      <c r="D333" s="3476">
        <v>-115</v>
      </c>
      <c r="E333" s="3478" t="s">
        <v>3526</v>
      </c>
      <c r="F333" s="3477">
        <v>23.92</v>
      </c>
    </row>
    <row r="334" spans="1:6">
      <c r="A334" s="3474">
        <v>331</v>
      </c>
      <c r="B334" s="3474">
        <v>4</v>
      </c>
      <c r="C334" s="3474" t="s">
        <v>3524</v>
      </c>
      <c r="D334" s="3476">
        <v>-116</v>
      </c>
      <c r="E334" s="3478" t="s">
        <v>3526</v>
      </c>
      <c r="F334" s="3477">
        <v>24.21</v>
      </c>
    </row>
    <row r="335" spans="1:6">
      <c r="A335" s="3474">
        <v>332</v>
      </c>
      <c r="B335" s="3474">
        <v>4</v>
      </c>
      <c r="C335" s="3474" t="s">
        <v>3524</v>
      </c>
      <c r="D335" s="3476">
        <v>-117</v>
      </c>
      <c r="E335" s="3478" t="s">
        <v>3526</v>
      </c>
      <c r="F335" s="3477">
        <v>17.62</v>
      </c>
    </row>
    <row r="336" spans="1:6">
      <c r="A336" s="3474">
        <v>333</v>
      </c>
      <c r="B336" s="3474">
        <v>4</v>
      </c>
      <c r="C336" s="3474" t="s">
        <v>3524</v>
      </c>
      <c r="D336" s="3476">
        <v>-118</v>
      </c>
      <c r="E336" s="3478" t="s">
        <v>3526</v>
      </c>
      <c r="F336" s="3477">
        <v>19.05</v>
      </c>
    </row>
    <row r="337" spans="1:6">
      <c r="A337" s="3474">
        <v>334</v>
      </c>
      <c r="B337" s="3474">
        <v>5</v>
      </c>
      <c r="C337" s="3474" t="s">
        <v>3524</v>
      </c>
      <c r="D337" s="3476">
        <v>-301</v>
      </c>
      <c r="E337" s="3478" t="s">
        <v>3526</v>
      </c>
      <c r="F337" s="3477">
        <v>29.12</v>
      </c>
    </row>
    <row r="338" spans="1:6">
      <c r="A338" s="3474">
        <v>335</v>
      </c>
      <c r="B338" s="3474">
        <v>5</v>
      </c>
      <c r="C338" s="3474" t="s">
        <v>3524</v>
      </c>
      <c r="D338" s="3476">
        <v>-302</v>
      </c>
      <c r="E338" s="3478" t="s">
        <v>3526</v>
      </c>
      <c r="F338" s="3477">
        <v>34.11</v>
      </c>
    </row>
    <row r="339" spans="1:6">
      <c r="A339" s="3474">
        <v>336</v>
      </c>
      <c r="B339" s="3474">
        <v>5</v>
      </c>
      <c r="C339" s="3474" t="s">
        <v>3524</v>
      </c>
      <c r="D339" s="3476">
        <v>-303</v>
      </c>
      <c r="E339" s="3478" t="s">
        <v>3526</v>
      </c>
      <c r="F339" s="3477">
        <v>14.68</v>
      </c>
    </row>
    <row r="340" spans="1:6">
      <c r="A340" s="3474">
        <v>337</v>
      </c>
      <c r="B340" s="3474">
        <v>5</v>
      </c>
      <c r="C340" s="3474" t="s">
        <v>3524</v>
      </c>
      <c r="D340" s="3476">
        <v>-304</v>
      </c>
      <c r="E340" s="3478" t="s">
        <v>3526</v>
      </c>
      <c r="F340" s="3477">
        <v>24.85</v>
      </c>
    </row>
    <row r="341" spans="1:6">
      <c r="A341" s="3474">
        <v>338</v>
      </c>
      <c r="B341" s="3474">
        <v>5</v>
      </c>
      <c r="C341" s="3474" t="s">
        <v>3524</v>
      </c>
      <c r="D341" s="3476">
        <v>-305</v>
      </c>
      <c r="E341" s="3478" t="s">
        <v>3526</v>
      </c>
      <c r="F341" s="3477">
        <v>17.260000000000002</v>
      </c>
    </row>
    <row r="342" spans="1:6">
      <c r="A342" s="3474">
        <v>339</v>
      </c>
      <c r="B342" s="3474">
        <v>5</v>
      </c>
      <c r="C342" s="3474" t="s">
        <v>3524</v>
      </c>
      <c r="D342" s="3476">
        <v>-306</v>
      </c>
      <c r="E342" s="3478" t="s">
        <v>3526</v>
      </c>
      <c r="F342" s="3477">
        <v>20.43</v>
      </c>
    </row>
    <row r="343" spans="1:6">
      <c r="A343" s="3474">
        <v>340</v>
      </c>
      <c r="B343" s="3474">
        <v>5</v>
      </c>
      <c r="C343" s="3474" t="s">
        <v>3524</v>
      </c>
      <c r="D343" s="3476">
        <v>-307</v>
      </c>
      <c r="E343" s="3478" t="s">
        <v>3526</v>
      </c>
      <c r="F343" s="3477">
        <v>20.23</v>
      </c>
    </row>
    <row r="344" spans="1:6">
      <c r="A344" s="3474">
        <v>341</v>
      </c>
      <c r="B344" s="3474">
        <v>5</v>
      </c>
      <c r="C344" s="3474" t="s">
        <v>3524</v>
      </c>
      <c r="D344" s="3476">
        <v>-308</v>
      </c>
      <c r="E344" s="3478" t="s">
        <v>3526</v>
      </c>
      <c r="F344" s="3477">
        <v>22.4</v>
      </c>
    </row>
    <row r="345" spans="1:6">
      <c r="A345" s="3474">
        <v>342</v>
      </c>
      <c r="B345" s="3474">
        <v>5</v>
      </c>
      <c r="C345" s="3474" t="s">
        <v>3524</v>
      </c>
      <c r="D345" s="3476">
        <v>-309</v>
      </c>
      <c r="E345" s="3478" t="s">
        <v>3526</v>
      </c>
      <c r="F345" s="3477">
        <v>26.87</v>
      </c>
    </row>
    <row r="346" spans="1:6">
      <c r="A346" s="3474">
        <v>343</v>
      </c>
      <c r="B346" s="3474">
        <v>5</v>
      </c>
      <c r="C346" s="3474" t="s">
        <v>3524</v>
      </c>
      <c r="D346" s="3476">
        <v>-310</v>
      </c>
      <c r="E346" s="3478" t="s">
        <v>3526</v>
      </c>
      <c r="F346" s="3477">
        <v>14.98</v>
      </c>
    </row>
    <row r="347" spans="1:6">
      <c r="A347" s="3474">
        <v>344</v>
      </c>
      <c r="B347" s="3474">
        <v>5</v>
      </c>
      <c r="C347" s="3474" t="s">
        <v>3524</v>
      </c>
      <c r="D347" s="3476">
        <v>-311</v>
      </c>
      <c r="E347" s="3478" t="s">
        <v>3526</v>
      </c>
      <c r="F347" s="3477">
        <v>9.49</v>
      </c>
    </row>
    <row r="348" spans="1:6">
      <c r="A348" s="3474">
        <v>345</v>
      </c>
      <c r="B348" s="3474">
        <v>5</v>
      </c>
      <c r="C348" s="3474" t="s">
        <v>3524</v>
      </c>
      <c r="D348" s="3476">
        <v>-312</v>
      </c>
      <c r="E348" s="3478" t="s">
        <v>3526</v>
      </c>
      <c r="F348" s="3477">
        <v>30.59</v>
      </c>
    </row>
    <row r="349" spans="1:6">
      <c r="A349" s="3474">
        <v>346</v>
      </c>
      <c r="B349" s="3474">
        <v>5</v>
      </c>
      <c r="C349" s="3474" t="s">
        <v>3524</v>
      </c>
      <c r="D349" s="3476">
        <v>-313</v>
      </c>
      <c r="E349" s="3478" t="s">
        <v>3526</v>
      </c>
      <c r="F349" s="3477">
        <v>26.22</v>
      </c>
    </row>
    <row r="350" spans="1:6">
      <c r="A350" s="3474">
        <v>347</v>
      </c>
      <c r="B350" s="3474">
        <v>5</v>
      </c>
      <c r="C350" s="3474" t="s">
        <v>3524</v>
      </c>
      <c r="D350" s="3476">
        <v>-314</v>
      </c>
      <c r="E350" s="3478" t="s">
        <v>3526</v>
      </c>
      <c r="F350" s="3477">
        <v>26.22</v>
      </c>
    </row>
    <row r="351" spans="1:6">
      <c r="A351" s="3474">
        <v>348</v>
      </c>
      <c r="B351" s="3474">
        <v>5</v>
      </c>
      <c r="C351" s="3474" t="s">
        <v>3524</v>
      </c>
      <c r="D351" s="3476">
        <v>-315</v>
      </c>
      <c r="E351" s="3478" t="s">
        <v>3526</v>
      </c>
      <c r="F351" s="3477">
        <v>30.59</v>
      </c>
    </row>
    <row r="352" spans="1:6">
      <c r="A352" s="3474">
        <v>349</v>
      </c>
      <c r="B352" s="3474">
        <v>5</v>
      </c>
      <c r="C352" s="3474" t="s">
        <v>3524</v>
      </c>
      <c r="D352" s="3476">
        <v>-316</v>
      </c>
      <c r="E352" s="3478" t="s">
        <v>3526</v>
      </c>
      <c r="F352" s="3477">
        <v>40.299999999999997</v>
      </c>
    </row>
    <row r="353" spans="1:6">
      <c r="A353" s="3474">
        <v>350</v>
      </c>
      <c r="B353" s="3474">
        <v>5</v>
      </c>
      <c r="C353" s="3474" t="s">
        <v>3524</v>
      </c>
      <c r="D353" s="3476">
        <v>-317</v>
      </c>
      <c r="E353" s="3478" t="s">
        <v>3526</v>
      </c>
      <c r="F353" s="3477">
        <v>19.100000000000001</v>
      </c>
    </row>
    <row r="354" spans="1:6">
      <c r="A354" s="3474">
        <v>351</v>
      </c>
      <c r="B354" s="3474">
        <v>5</v>
      </c>
      <c r="C354" s="3474" t="s">
        <v>3524</v>
      </c>
      <c r="D354" s="3476">
        <v>-318</v>
      </c>
      <c r="E354" s="3478" t="s">
        <v>3526</v>
      </c>
      <c r="F354" s="3477">
        <v>18.75</v>
      </c>
    </row>
    <row r="355" spans="1:6">
      <c r="A355" s="3474">
        <v>352</v>
      </c>
      <c r="B355" s="3474">
        <v>5</v>
      </c>
      <c r="C355" s="3474" t="s">
        <v>3524</v>
      </c>
      <c r="D355" s="3476">
        <v>-319</v>
      </c>
      <c r="E355" s="3478" t="s">
        <v>3526</v>
      </c>
      <c r="F355" s="3477">
        <v>37.159999999999997</v>
      </c>
    </row>
    <row r="356" spans="1:6">
      <c r="A356" s="3474">
        <v>353</v>
      </c>
      <c r="B356" s="3474">
        <v>5</v>
      </c>
      <c r="C356" s="3474" t="s">
        <v>3524</v>
      </c>
      <c r="D356" s="3476">
        <v>-320</v>
      </c>
      <c r="E356" s="3478" t="s">
        <v>3526</v>
      </c>
      <c r="F356" s="3477">
        <v>37.380000000000003</v>
      </c>
    </row>
    <row r="357" spans="1:6">
      <c r="A357" s="3474">
        <v>354</v>
      </c>
      <c r="B357" s="3474">
        <v>5</v>
      </c>
      <c r="C357" s="3474" t="s">
        <v>3524</v>
      </c>
      <c r="D357" s="3476">
        <v>-321</v>
      </c>
      <c r="E357" s="3478" t="s">
        <v>3526</v>
      </c>
      <c r="F357" s="3477">
        <v>18.75</v>
      </c>
    </row>
    <row r="358" spans="1:6">
      <c r="A358" s="3474">
        <v>355</v>
      </c>
      <c r="B358" s="3474">
        <v>5</v>
      </c>
      <c r="C358" s="3474" t="s">
        <v>3524</v>
      </c>
      <c r="D358" s="3476">
        <v>-201</v>
      </c>
      <c r="E358" s="3478" t="s">
        <v>3526</v>
      </c>
      <c r="F358" s="3477">
        <v>25.85</v>
      </c>
    </row>
    <row r="359" spans="1:6">
      <c r="A359" s="3474">
        <v>356</v>
      </c>
      <c r="B359" s="3474">
        <v>5</v>
      </c>
      <c r="C359" s="3474" t="s">
        <v>3524</v>
      </c>
      <c r="D359" s="3476">
        <v>-202</v>
      </c>
      <c r="E359" s="3478" t="s">
        <v>3526</v>
      </c>
      <c r="F359" s="3477">
        <v>24.85</v>
      </c>
    </row>
    <row r="360" spans="1:6">
      <c r="A360" s="3474">
        <v>357</v>
      </c>
      <c r="B360" s="3474">
        <v>5</v>
      </c>
      <c r="C360" s="3474" t="s">
        <v>3524</v>
      </c>
      <c r="D360" s="3476">
        <v>-203</v>
      </c>
      <c r="E360" s="3478" t="s">
        <v>3526</v>
      </c>
      <c r="F360" s="3477">
        <v>14.31</v>
      </c>
    </row>
    <row r="361" spans="1:6">
      <c r="A361" s="3474">
        <v>358</v>
      </c>
      <c r="B361" s="3474">
        <v>5</v>
      </c>
      <c r="C361" s="3474" t="s">
        <v>3524</v>
      </c>
      <c r="D361" s="3476">
        <v>-204</v>
      </c>
      <c r="E361" s="3478" t="s">
        <v>3526</v>
      </c>
      <c r="F361" s="3477">
        <v>20</v>
      </c>
    </row>
    <row r="362" spans="1:6">
      <c r="A362" s="3474">
        <v>359</v>
      </c>
      <c r="B362" s="3474">
        <v>5</v>
      </c>
      <c r="C362" s="3474" t="s">
        <v>3524</v>
      </c>
      <c r="D362" s="3476">
        <v>-205</v>
      </c>
      <c r="E362" s="3478" t="s">
        <v>3526</v>
      </c>
      <c r="F362" s="3477">
        <v>20.23</v>
      </c>
    </row>
    <row r="363" spans="1:6">
      <c r="A363" s="3474">
        <v>360</v>
      </c>
      <c r="B363" s="3474">
        <v>5</v>
      </c>
      <c r="C363" s="3474" t="s">
        <v>3524</v>
      </c>
      <c r="D363" s="3476">
        <v>-206</v>
      </c>
      <c r="E363" s="3478" t="s">
        <v>3526</v>
      </c>
      <c r="F363" s="3477">
        <v>22.4</v>
      </c>
    </row>
    <row r="364" spans="1:6">
      <c r="A364" s="3474">
        <v>361</v>
      </c>
      <c r="B364" s="3474">
        <v>5</v>
      </c>
      <c r="C364" s="3474" t="s">
        <v>3524</v>
      </c>
      <c r="D364" s="3476">
        <v>-207</v>
      </c>
      <c r="E364" s="3478" t="s">
        <v>3526</v>
      </c>
      <c r="F364" s="3477">
        <v>26.87</v>
      </c>
    </row>
    <row r="365" spans="1:6">
      <c r="A365" s="3474">
        <v>362</v>
      </c>
      <c r="B365" s="3474">
        <v>5</v>
      </c>
      <c r="C365" s="3474" t="s">
        <v>3524</v>
      </c>
      <c r="D365" s="3476">
        <v>-208</v>
      </c>
      <c r="E365" s="3478" t="s">
        <v>3526</v>
      </c>
      <c r="F365" s="3477">
        <v>14.98</v>
      </c>
    </row>
    <row r="366" spans="1:6">
      <c r="A366" s="3474">
        <v>363</v>
      </c>
      <c r="B366" s="3474">
        <v>5</v>
      </c>
      <c r="C366" s="3474" t="s">
        <v>3524</v>
      </c>
      <c r="D366" s="3476">
        <v>-209</v>
      </c>
      <c r="E366" s="3478" t="s">
        <v>3526</v>
      </c>
      <c r="F366" s="3477">
        <v>9.49</v>
      </c>
    </row>
    <row r="367" spans="1:6">
      <c r="A367" s="3474">
        <v>364</v>
      </c>
      <c r="B367" s="3474">
        <v>5</v>
      </c>
      <c r="C367" s="3474" t="s">
        <v>3524</v>
      </c>
      <c r="D367" s="3476">
        <v>-210</v>
      </c>
      <c r="E367" s="3478" t="s">
        <v>3526</v>
      </c>
      <c r="F367" s="3477">
        <v>30.59</v>
      </c>
    </row>
    <row r="368" spans="1:6">
      <c r="A368" s="3474">
        <v>365</v>
      </c>
      <c r="B368" s="3474">
        <v>5</v>
      </c>
      <c r="C368" s="3474" t="s">
        <v>3524</v>
      </c>
      <c r="D368" s="3476">
        <v>-211</v>
      </c>
      <c r="E368" s="3478" t="s">
        <v>3526</v>
      </c>
      <c r="F368" s="3477">
        <v>26.22</v>
      </c>
    </row>
    <row r="369" spans="1:6">
      <c r="A369" s="3474">
        <v>366</v>
      </c>
      <c r="B369" s="3474">
        <v>5</v>
      </c>
      <c r="C369" s="3474" t="s">
        <v>3524</v>
      </c>
      <c r="D369" s="3476">
        <v>-212</v>
      </c>
      <c r="E369" s="3478" t="s">
        <v>3526</v>
      </c>
      <c r="F369" s="3477">
        <v>9.49</v>
      </c>
    </row>
    <row r="370" spans="1:6">
      <c r="A370" s="3474">
        <v>367</v>
      </c>
      <c r="B370" s="3474">
        <v>5</v>
      </c>
      <c r="C370" s="3474" t="s">
        <v>3524</v>
      </c>
      <c r="D370" s="3476">
        <v>-213</v>
      </c>
      <c r="E370" s="3478" t="s">
        <v>3526</v>
      </c>
      <c r="F370" s="3477">
        <v>14.98</v>
      </c>
    </row>
    <row r="371" spans="1:6">
      <c r="A371" s="3474">
        <v>368</v>
      </c>
      <c r="B371" s="3474">
        <v>5</v>
      </c>
      <c r="C371" s="3474" t="s">
        <v>3524</v>
      </c>
      <c r="D371" s="3476">
        <v>-214</v>
      </c>
      <c r="E371" s="3478" t="s">
        <v>3526</v>
      </c>
      <c r="F371" s="3477">
        <v>26.4</v>
      </c>
    </row>
    <row r="372" spans="1:6">
      <c r="A372" s="3474">
        <v>369</v>
      </c>
      <c r="B372" s="3474">
        <v>5</v>
      </c>
      <c r="C372" s="3474" t="s">
        <v>3524</v>
      </c>
      <c r="D372" s="3476">
        <v>-215</v>
      </c>
      <c r="E372" s="3478" t="s">
        <v>3526</v>
      </c>
      <c r="F372" s="3477">
        <v>22.4</v>
      </c>
    </row>
    <row r="373" spans="1:6">
      <c r="A373" s="3474">
        <v>370</v>
      </c>
      <c r="B373" s="3474">
        <v>5</v>
      </c>
      <c r="C373" s="3474" t="s">
        <v>3524</v>
      </c>
      <c r="D373" s="3476">
        <v>-216</v>
      </c>
      <c r="E373" s="3478" t="s">
        <v>3526</v>
      </c>
      <c r="F373" s="3477">
        <v>20.23</v>
      </c>
    </row>
    <row r="374" spans="1:6">
      <c r="A374" s="3474">
        <v>371</v>
      </c>
      <c r="B374" s="3474">
        <v>5</v>
      </c>
      <c r="C374" s="3474" t="s">
        <v>3524</v>
      </c>
      <c r="D374" s="3476">
        <v>-217</v>
      </c>
      <c r="E374" s="3478" t="s">
        <v>3526</v>
      </c>
      <c r="F374" s="3477">
        <v>20.43</v>
      </c>
    </row>
    <row r="375" spans="1:6">
      <c r="A375" s="3474">
        <v>372</v>
      </c>
      <c r="B375" s="3474">
        <v>5</v>
      </c>
      <c r="C375" s="3474" t="s">
        <v>3524</v>
      </c>
      <c r="D375" s="3476">
        <v>-218</v>
      </c>
      <c r="E375" s="3478" t="s">
        <v>3526</v>
      </c>
      <c r="F375" s="3477">
        <v>14.43</v>
      </c>
    </row>
    <row r="376" spans="1:6">
      <c r="A376" s="3481">
        <v>373</v>
      </c>
      <c r="B376" s="3481">
        <v>5</v>
      </c>
      <c r="C376" s="3481" t="s">
        <v>3524</v>
      </c>
      <c r="D376" s="3480">
        <v>-219</v>
      </c>
      <c r="E376" s="3482" t="s">
        <v>3526</v>
      </c>
      <c r="F376" s="3483">
        <v>21.3</v>
      </c>
    </row>
    <row r="377" spans="1:6">
      <c r="A377" s="3577" t="s">
        <v>3527</v>
      </c>
      <c r="B377" s="3573"/>
      <c r="C377" s="3573"/>
      <c r="D377" s="3573"/>
      <c r="E377" s="3573"/>
      <c r="F377" s="3484">
        <f>SUM(F165:F376)</f>
        <v>4931.279999999997</v>
      </c>
    </row>
    <row r="378" spans="1:6">
      <c r="A378" s="3481">
        <v>374</v>
      </c>
      <c r="B378" s="3481" t="s">
        <v>3524</v>
      </c>
      <c r="C378" s="3481" t="s">
        <v>3524</v>
      </c>
      <c r="D378" s="3480" t="s">
        <v>3528</v>
      </c>
      <c r="E378" s="3482" t="s">
        <v>3529</v>
      </c>
      <c r="F378" s="3483">
        <v>34.04</v>
      </c>
    </row>
    <row r="379" spans="1:6">
      <c r="A379" s="3481">
        <v>375</v>
      </c>
      <c r="B379" s="3481" t="s">
        <v>3524</v>
      </c>
      <c r="C379" s="3481" t="s">
        <v>3524</v>
      </c>
      <c r="D379" s="3480" t="s">
        <v>3530</v>
      </c>
      <c r="E379" s="3482" t="s">
        <v>3531</v>
      </c>
      <c r="F379" s="3483">
        <v>52.48</v>
      </c>
    </row>
    <row r="380" spans="1:6">
      <c r="A380" s="3481">
        <v>376</v>
      </c>
      <c r="B380" s="3481" t="s">
        <v>3524</v>
      </c>
      <c r="C380" s="3481" t="s">
        <v>3524</v>
      </c>
      <c r="D380" s="3480" t="s">
        <v>3532</v>
      </c>
      <c r="E380" s="3482" t="s">
        <v>3533</v>
      </c>
      <c r="F380" s="3483">
        <v>21.32</v>
      </c>
    </row>
    <row r="381" spans="1:6">
      <c r="A381" s="3481">
        <v>377</v>
      </c>
      <c r="B381" s="3481" t="s">
        <v>3524</v>
      </c>
      <c r="C381" s="3481" t="s">
        <v>3524</v>
      </c>
      <c r="D381" s="3480" t="s">
        <v>3534</v>
      </c>
      <c r="E381" s="3482" t="s">
        <v>3529</v>
      </c>
      <c r="F381" s="3483">
        <v>30.07</v>
      </c>
    </row>
    <row r="382" spans="1:6">
      <c r="A382" s="3481">
        <v>378</v>
      </c>
      <c r="B382" s="3481" t="s">
        <v>3524</v>
      </c>
      <c r="C382" s="3481" t="s">
        <v>3524</v>
      </c>
      <c r="D382" s="3480" t="s">
        <v>3535</v>
      </c>
      <c r="E382" s="3482" t="str">
        <f t="shared" ref="E382:E387" si="0">E381</f>
        <v>普通车位</v>
      </c>
      <c r="F382" s="3483">
        <v>30.07</v>
      </c>
    </row>
    <row r="383" spans="1:6">
      <c r="A383" s="3481">
        <v>379</v>
      </c>
      <c r="B383" s="3481" t="s">
        <v>3536</v>
      </c>
      <c r="C383" s="3481" t="s">
        <v>3536</v>
      </c>
      <c r="D383" s="3480" t="s">
        <v>3537</v>
      </c>
      <c r="E383" s="3482" t="str">
        <f t="shared" si="0"/>
        <v>普通车位</v>
      </c>
      <c r="F383" s="3483">
        <v>30.07</v>
      </c>
    </row>
    <row r="384" spans="1:6">
      <c r="A384" s="3481">
        <v>380</v>
      </c>
      <c r="B384" s="3481" t="s">
        <v>3536</v>
      </c>
      <c r="C384" s="3481" t="s">
        <v>3536</v>
      </c>
      <c r="D384" s="3480" t="s">
        <v>3538</v>
      </c>
      <c r="E384" s="3482" t="str">
        <f t="shared" si="0"/>
        <v>普通车位</v>
      </c>
      <c r="F384" s="3483">
        <v>30.07</v>
      </c>
    </row>
    <row r="385" spans="1:6">
      <c r="A385" s="3481">
        <v>381</v>
      </c>
      <c r="B385" s="3481" t="s">
        <v>3536</v>
      </c>
      <c r="C385" s="3481" t="s">
        <v>3536</v>
      </c>
      <c r="D385" s="3480" t="s">
        <v>3539</v>
      </c>
      <c r="E385" s="3482" t="str">
        <f t="shared" si="0"/>
        <v>普通车位</v>
      </c>
      <c r="F385" s="3483">
        <v>30.07</v>
      </c>
    </row>
    <row r="386" spans="1:6">
      <c r="A386" s="3481">
        <v>382</v>
      </c>
      <c r="B386" s="3481" t="s">
        <v>3536</v>
      </c>
      <c r="C386" s="3481" t="s">
        <v>3536</v>
      </c>
      <c r="D386" s="3480" t="s">
        <v>3540</v>
      </c>
      <c r="E386" s="3482" t="str">
        <f t="shared" si="0"/>
        <v>普通车位</v>
      </c>
      <c r="F386" s="3483">
        <v>30.07</v>
      </c>
    </row>
    <row r="387" spans="1:6">
      <c r="A387" s="3481">
        <v>383</v>
      </c>
      <c r="B387" s="3481" t="s">
        <v>3536</v>
      </c>
      <c r="C387" s="3481" t="s">
        <v>3536</v>
      </c>
      <c r="D387" s="3480" t="s">
        <v>3541</v>
      </c>
      <c r="E387" s="3482" t="str">
        <f t="shared" si="0"/>
        <v>普通车位</v>
      </c>
      <c r="F387" s="3483">
        <v>30.07</v>
      </c>
    </row>
    <row r="388" spans="1:6">
      <c r="A388" s="3481">
        <v>384</v>
      </c>
      <c r="B388" s="3481" t="s">
        <v>3536</v>
      </c>
      <c r="C388" s="3481" t="s">
        <v>3536</v>
      </c>
      <c r="D388" s="3480" t="s">
        <v>3542</v>
      </c>
      <c r="E388" s="3482" t="s">
        <v>3529</v>
      </c>
      <c r="F388" s="3483">
        <v>30.07</v>
      </c>
    </row>
    <row r="389" spans="1:6">
      <c r="A389" s="3481">
        <v>385</v>
      </c>
      <c r="B389" s="3481" t="s">
        <v>3536</v>
      </c>
      <c r="C389" s="3481" t="s">
        <v>3536</v>
      </c>
      <c r="D389" s="3480" t="s">
        <v>3543</v>
      </c>
      <c r="E389" s="3482" t="s">
        <v>3529</v>
      </c>
      <c r="F389" s="3483">
        <v>28.93</v>
      </c>
    </row>
    <row r="390" spans="1:6">
      <c r="A390" s="3481">
        <v>386</v>
      </c>
      <c r="B390" s="3481" t="s">
        <v>3536</v>
      </c>
      <c r="C390" s="3481" t="s">
        <v>3536</v>
      </c>
      <c r="D390" s="3480" t="s">
        <v>3544</v>
      </c>
      <c r="E390" s="3482" t="s">
        <v>3529</v>
      </c>
      <c r="F390" s="3483">
        <v>28.93</v>
      </c>
    </row>
    <row r="391" spans="1:6">
      <c r="A391" s="3481">
        <v>387</v>
      </c>
      <c r="B391" s="3481" t="s">
        <v>3536</v>
      </c>
      <c r="C391" s="3481" t="s">
        <v>3536</v>
      </c>
      <c r="D391" s="3480" t="s">
        <v>3545</v>
      </c>
      <c r="E391" s="3482" t="s">
        <v>3529</v>
      </c>
      <c r="F391" s="3483">
        <v>30.07</v>
      </c>
    </row>
    <row r="392" spans="1:6">
      <c r="A392" s="3481">
        <v>388</v>
      </c>
      <c r="B392" s="3481" t="s">
        <v>3536</v>
      </c>
      <c r="C392" s="3481" t="s">
        <v>3536</v>
      </c>
      <c r="D392" s="3480" t="s">
        <v>3546</v>
      </c>
      <c r="E392" s="3482" t="s">
        <v>3529</v>
      </c>
      <c r="F392" s="3483">
        <v>30.07</v>
      </c>
    </row>
    <row r="393" spans="1:6">
      <c r="A393" s="3481">
        <v>389</v>
      </c>
      <c r="B393" s="3481" t="s">
        <v>3536</v>
      </c>
      <c r="C393" s="3481" t="s">
        <v>3536</v>
      </c>
      <c r="D393" s="3480" t="s">
        <v>3547</v>
      </c>
      <c r="E393" s="3482" t="s">
        <v>3529</v>
      </c>
      <c r="F393" s="3483">
        <v>30.07</v>
      </c>
    </row>
    <row r="394" spans="1:6">
      <c r="A394" s="3481">
        <v>390</v>
      </c>
      <c r="B394" s="3481" t="s">
        <v>3536</v>
      </c>
      <c r="C394" s="3481" t="s">
        <v>3536</v>
      </c>
      <c r="D394" s="3480" t="s">
        <v>3548</v>
      </c>
      <c r="E394" s="3482" t="s">
        <v>3529</v>
      </c>
      <c r="F394" s="3483">
        <v>30.07</v>
      </c>
    </row>
    <row r="395" spans="1:6">
      <c r="A395" s="3481">
        <v>391</v>
      </c>
      <c r="B395" s="3481" t="s">
        <v>3536</v>
      </c>
      <c r="C395" s="3481" t="s">
        <v>3536</v>
      </c>
      <c r="D395" s="3480" t="s">
        <v>3549</v>
      </c>
      <c r="E395" s="3482" t="s">
        <v>3529</v>
      </c>
      <c r="F395" s="3483">
        <v>30.07</v>
      </c>
    </row>
    <row r="396" spans="1:6">
      <c r="A396" s="3481">
        <v>392</v>
      </c>
      <c r="B396" s="3481" t="s">
        <v>3536</v>
      </c>
      <c r="C396" s="3481" t="s">
        <v>3536</v>
      </c>
      <c r="D396" s="3480">
        <v>-2019</v>
      </c>
      <c r="E396" s="3482" t="str">
        <f t="shared" ref="E396:E419" si="1">E395</f>
        <v>普通车位</v>
      </c>
      <c r="F396" s="3483">
        <v>30.07</v>
      </c>
    </row>
    <row r="397" spans="1:6">
      <c r="A397" s="3481">
        <v>393</v>
      </c>
      <c r="B397" s="3481" t="s">
        <v>3524</v>
      </c>
      <c r="C397" s="3481" t="s">
        <v>3524</v>
      </c>
      <c r="D397" s="3480" t="s">
        <v>3550</v>
      </c>
      <c r="E397" s="3482" t="str">
        <f t="shared" si="1"/>
        <v>普通车位</v>
      </c>
      <c r="F397" s="3483">
        <v>30.07</v>
      </c>
    </row>
    <row r="398" spans="1:6">
      <c r="A398" s="3481">
        <v>394</v>
      </c>
      <c r="B398" s="3481" t="s">
        <v>3524</v>
      </c>
      <c r="C398" s="3481" t="s">
        <v>3524</v>
      </c>
      <c r="D398" s="3480" t="s">
        <v>3551</v>
      </c>
      <c r="E398" s="3482" t="str">
        <f t="shared" si="1"/>
        <v>普通车位</v>
      </c>
      <c r="F398" s="3483">
        <v>30.07</v>
      </c>
    </row>
    <row r="399" spans="1:6">
      <c r="A399" s="3481">
        <v>395</v>
      </c>
      <c r="B399" s="3481" t="s">
        <v>3524</v>
      </c>
      <c r="C399" s="3481" t="s">
        <v>3524</v>
      </c>
      <c r="D399" s="3480" t="s">
        <v>3552</v>
      </c>
      <c r="E399" s="3482" t="str">
        <f t="shared" si="1"/>
        <v>普通车位</v>
      </c>
      <c r="F399" s="3483">
        <v>28.93</v>
      </c>
    </row>
    <row r="400" spans="1:6">
      <c r="A400" s="3481">
        <v>396</v>
      </c>
      <c r="B400" s="3481" t="s">
        <v>3524</v>
      </c>
      <c r="C400" s="3481" t="s">
        <v>3524</v>
      </c>
      <c r="D400" s="3480" t="s">
        <v>3553</v>
      </c>
      <c r="E400" s="3482" t="str">
        <f t="shared" si="1"/>
        <v>普通车位</v>
      </c>
      <c r="F400" s="3483">
        <v>28.93</v>
      </c>
    </row>
    <row r="401" spans="1:6">
      <c r="A401" s="3481">
        <v>397</v>
      </c>
      <c r="B401" s="3481" t="s">
        <v>3524</v>
      </c>
      <c r="C401" s="3481" t="s">
        <v>3524</v>
      </c>
      <c r="D401" s="3480" t="s">
        <v>3554</v>
      </c>
      <c r="E401" s="3482" t="str">
        <f t="shared" si="1"/>
        <v>普通车位</v>
      </c>
      <c r="F401" s="3483">
        <v>28.93</v>
      </c>
    </row>
    <row r="402" spans="1:6">
      <c r="A402" s="3481">
        <v>398</v>
      </c>
      <c r="B402" s="3481" t="s">
        <v>3536</v>
      </c>
      <c r="C402" s="3481" t="s">
        <v>3536</v>
      </c>
      <c r="D402" s="3480" t="s">
        <v>3555</v>
      </c>
      <c r="E402" s="3482" t="str">
        <f t="shared" si="1"/>
        <v>普通车位</v>
      </c>
      <c r="F402" s="3483">
        <v>28.93</v>
      </c>
    </row>
    <row r="403" spans="1:6">
      <c r="A403" s="3481">
        <v>399</v>
      </c>
      <c r="B403" s="3481" t="s">
        <v>3536</v>
      </c>
      <c r="C403" s="3481" t="s">
        <v>3536</v>
      </c>
      <c r="D403" s="3480" t="s">
        <v>3556</v>
      </c>
      <c r="E403" s="3482" t="str">
        <f t="shared" si="1"/>
        <v>普通车位</v>
      </c>
      <c r="F403" s="3483">
        <v>28.93</v>
      </c>
    </row>
    <row r="404" spans="1:6">
      <c r="A404" s="3481">
        <v>400</v>
      </c>
      <c r="B404" s="3481" t="s">
        <v>3536</v>
      </c>
      <c r="C404" s="3481" t="s">
        <v>3536</v>
      </c>
      <c r="D404" s="3480" t="s">
        <v>3557</v>
      </c>
      <c r="E404" s="3482" t="str">
        <f t="shared" si="1"/>
        <v>普通车位</v>
      </c>
      <c r="F404" s="3483">
        <v>28.93</v>
      </c>
    </row>
    <row r="405" spans="1:6">
      <c r="A405" s="3481">
        <v>401</v>
      </c>
      <c r="B405" s="3481" t="s">
        <v>3536</v>
      </c>
      <c r="C405" s="3481" t="s">
        <v>3536</v>
      </c>
      <c r="D405" s="3480" t="s">
        <v>3558</v>
      </c>
      <c r="E405" s="3482" t="str">
        <f t="shared" si="1"/>
        <v>普通车位</v>
      </c>
      <c r="F405" s="3483">
        <v>28.93</v>
      </c>
    </row>
    <row r="406" spans="1:6">
      <c r="A406" s="3481">
        <v>402</v>
      </c>
      <c r="B406" s="3481" t="s">
        <v>3536</v>
      </c>
      <c r="C406" s="3481" t="s">
        <v>3536</v>
      </c>
      <c r="D406" s="3480" t="s">
        <v>3559</v>
      </c>
      <c r="E406" s="3482" t="str">
        <f t="shared" si="1"/>
        <v>普通车位</v>
      </c>
      <c r="F406" s="3483">
        <v>28.93</v>
      </c>
    </row>
    <row r="407" spans="1:6">
      <c r="A407" s="3481">
        <v>403</v>
      </c>
      <c r="B407" s="3481" t="s">
        <v>3536</v>
      </c>
      <c r="C407" s="3481" t="s">
        <v>3536</v>
      </c>
      <c r="D407" s="3480" t="s">
        <v>3560</v>
      </c>
      <c r="E407" s="3482" t="str">
        <f t="shared" si="1"/>
        <v>普通车位</v>
      </c>
      <c r="F407" s="3483">
        <v>28.93</v>
      </c>
    </row>
    <row r="408" spans="1:6">
      <c r="A408" s="3481">
        <v>404</v>
      </c>
      <c r="B408" s="3481" t="s">
        <v>3536</v>
      </c>
      <c r="C408" s="3481" t="s">
        <v>3536</v>
      </c>
      <c r="D408" s="3480" t="s">
        <v>3561</v>
      </c>
      <c r="E408" s="3482" t="str">
        <f t="shared" si="1"/>
        <v>普通车位</v>
      </c>
      <c r="F408" s="3483">
        <v>28.93</v>
      </c>
    </row>
    <row r="409" spans="1:6">
      <c r="A409" s="3481">
        <v>405</v>
      </c>
      <c r="B409" s="3481" t="s">
        <v>3524</v>
      </c>
      <c r="C409" s="3481" t="s">
        <v>3524</v>
      </c>
      <c r="D409" s="3480" t="s">
        <v>3562</v>
      </c>
      <c r="E409" s="3482" t="str">
        <f t="shared" si="1"/>
        <v>普通车位</v>
      </c>
      <c r="F409" s="3483">
        <v>28.93</v>
      </c>
    </row>
    <row r="410" spans="1:6">
      <c r="A410" s="3481">
        <v>406</v>
      </c>
      <c r="B410" s="3481" t="s">
        <v>3524</v>
      </c>
      <c r="C410" s="3481" t="s">
        <v>3524</v>
      </c>
      <c r="D410" s="3480" t="s">
        <v>3563</v>
      </c>
      <c r="E410" s="3482" t="str">
        <f t="shared" si="1"/>
        <v>普通车位</v>
      </c>
      <c r="F410" s="3483">
        <v>28.93</v>
      </c>
    </row>
    <row r="411" spans="1:6">
      <c r="A411" s="3481">
        <v>407</v>
      </c>
      <c r="B411" s="3481" t="s">
        <v>3524</v>
      </c>
      <c r="C411" s="3481" t="s">
        <v>3524</v>
      </c>
      <c r="D411" s="3480" t="s">
        <v>3564</v>
      </c>
      <c r="E411" s="3482" t="str">
        <f t="shared" si="1"/>
        <v>普通车位</v>
      </c>
      <c r="F411" s="3483">
        <v>28.93</v>
      </c>
    </row>
    <row r="412" spans="1:6">
      <c r="A412" s="3481">
        <v>408</v>
      </c>
      <c r="B412" s="3481" t="s">
        <v>3524</v>
      </c>
      <c r="C412" s="3481" t="s">
        <v>3524</v>
      </c>
      <c r="D412" s="3480" t="s">
        <v>3565</v>
      </c>
      <c r="E412" s="3482" t="str">
        <f t="shared" si="1"/>
        <v>普通车位</v>
      </c>
      <c r="F412" s="3483">
        <v>28.93</v>
      </c>
    </row>
    <row r="413" spans="1:6">
      <c r="A413" s="3481">
        <v>409</v>
      </c>
      <c r="B413" s="3481" t="s">
        <v>3524</v>
      </c>
      <c r="C413" s="3481" t="s">
        <v>3524</v>
      </c>
      <c r="D413" s="3480" t="s">
        <v>3566</v>
      </c>
      <c r="E413" s="3482" t="str">
        <f t="shared" si="1"/>
        <v>普通车位</v>
      </c>
      <c r="F413" s="3483">
        <v>28.93</v>
      </c>
    </row>
    <row r="414" spans="1:6">
      <c r="A414" s="3481">
        <v>410</v>
      </c>
      <c r="B414" s="3481" t="s">
        <v>3524</v>
      </c>
      <c r="C414" s="3481" t="s">
        <v>3524</v>
      </c>
      <c r="D414" s="3480" t="s">
        <v>3567</v>
      </c>
      <c r="E414" s="3482" t="str">
        <f t="shared" si="1"/>
        <v>普通车位</v>
      </c>
      <c r="F414" s="3483">
        <v>28.93</v>
      </c>
    </row>
    <row r="415" spans="1:6">
      <c r="A415" s="3481">
        <v>411</v>
      </c>
      <c r="B415" s="3481" t="s">
        <v>3536</v>
      </c>
      <c r="C415" s="3481" t="s">
        <v>3536</v>
      </c>
      <c r="D415" s="3480" t="s">
        <v>3568</v>
      </c>
      <c r="E415" s="3482" t="str">
        <f t="shared" si="1"/>
        <v>普通车位</v>
      </c>
      <c r="F415" s="3483">
        <v>28.93</v>
      </c>
    </row>
    <row r="416" spans="1:6">
      <c r="A416" s="3481">
        <v>412</v>
      </c>
      <c r="B416" s="3481" t="s">
        <v>3569</v>
      </c>
      <c r="C416" s="3481" t="s">
        <v>3569</v>
      </c>
      <c r="D416" s="3480" t="s">
        <v>3570</v>
      </c>
      <c r="E416" s="3482" t="str">
        <f t="shared" si="1"/>
        <v>普通车位</v>
      </c>
      <c r="F416" s="3483">
        <v>28.93</v>
      </c>
    </row>
    <row r="417" spans="1:6">
      <c r="A417" s="3481">
        <v>413</v>
      </c>
      <c r="B417" s="3481" t="s">
        <v>3571</v>
      </c>
      <c r="C417" s="3481" t="s">
        <v>3571</v>
      </c>
      <c r="D417" s="3480" t="s">
        <v>3572</v>
      </c>
      <c r="E417" s="3482" t="str">
        <f t="shared" si="1"/>
        <v>普通车位</v>
      </c>
      <c r="F417" s="3483">
        <v>28.93</v>
      </c>
    </row>
    <row r="418" spans="1:6">
      <c r="A418" s="3481">
        <v>414</v>
      </c>
      <c r="B418" s="3481" t="s">
        <v>3571</v>
      </c>
      <c r="C418" s="3481" t="s">
        <v>3571</v>
      </c>
      <c r="D418" s="3480" t="s">
        <v>3573</v>
      </c>
      <c r="E418" s="3482" t="str">
        <f t="shared" si="1"/>
        <v>普通车位</v>
      </c>
      <c r="F418" s="3483">
        <v>28.93</v>
      </c>
    </row>
    <row r="419" spans="1:6">
      <c r="A419" s="3481">
        <v>415</v>
      </c>
      <c r="B419" s="3481" t="s">
        <v>3571</v>
      </c>
      <c r="C419" s="3481" t="s">
        <v>3571</v>
      </c>
      <c r="D419" s="3480" t="s">
        <v>3574</v>
      </c>
      <c r="E419" s="3482" t="str">
        <f t="shared" si="1"/>
        <v>普通车位</v>
      </c>
      <c r="F419" s="3483">
        <v>28.93</v>
      </c>
    </row>
    <row r="420" spans="1:6">
      <c r="A420" s="3481">
        <v>416</v>
      </c>
      <c r="B420" s="3481" t="s">
        <v>3571</v>
      </c>
      <c r="C420" s="3481" t="s">
        <v>3571</v>
      </c>
      <c r="D420" s="3480" t="s">
        <v>3575</v>
      </c>
      <c r="E420" s="3482" t="str">
        <f t="shared" ref="E420:E436" si="2">E418</f>
        <v>普通车位</v>
      </c>
      <c r="F420" s="3483">
        <v>30.07</v>
      </c>
    </row>
    <row r="421" spans="1:6">
      <c r="A421" s="3481">
        <v>417</v>
      </c>
      <c r="B421" s="3481" t="s">
        <v>3571</v>
      </c>
      <c r="C421" s="3481" t="s">
        <v>3571</v>
      </c>
      <c r="D421" s="3480" t="s">
        <v>3576</v>
      </c>
      <c r="E421" s="3482" t="str">
        <f t="shared" si="2"/>
        <v>普通车位</v>
      </c>
      <c r="F421" s="3483">
        <v>30.07</v>
      </c>
    </row>
    <row r="422" spans="1:6">
      <c r="A422" s="3481">
        <v>418</v>
      </c>
      <c r="B422" s="3481" t="s">
        <v>3569</v>
      </c>
      <c r="C422" s="3481" t="s">
        <v>3569</v>
      </c>
      <c r="D422" s="3480" t="s">
        <v>3577</v>
      </c>
      <c r="E422" s="3482" t="str">
        <f t="shared" si="2"/>
        <v>普通车位</v>
      </c>
      <c r="F422" s="3483">
        <v>30.07</v>
      </c>
    </row>
    <row r="423" spans="1:6">
      <c r="A423" s="3481">
        <v>419</v>
      </c>
      <c r="B423" s="3481" t="s">
        <v>3571</v>
      </c>
      <c r="C423" s="3481" t="s">
        <v>3571</v>
      </c>
      <c r="D423" s="3480" t="s">
        <v>3578</v>
      </c>
      <c r="E423" s="3482" t="str">
        <f t="shared" si="2"/>
        <v>普通车位</v>
      </c>
      <c r="F423" s="3483">
        <v>30.07</v>
      </c>
    </row>
    <row r="424" spans="1:6">
      <c r="A424" s="3481">
        <v>420</v>
      </c>
      <c r="B424" s="3481" t="s">
        <v>3579</v>
      </c>
      <c r="C424" s="3481" t="s">
        <v>3579</v>
      </c>
      <c r="D424" s="3480" t="s">
        <v>3580</v>
      </c>
      <c r="E424" s="3482" t="str">
        <f t="shared" si="2"/>
        <v>普通车位</v>
      </c>
      <c r="F424" s="3483">
        <v>30.07</v>
      </c>
    </row>
    <row r="425" spans="1:6">
      <c r="A425" s="3481">
        <v>421</v>
      </c>
      <c r="B425" s="3481" t="s">
        <v>3536</v>
      </c>
      <c r="C425" s="3481" t="s">
        <v>3536</v>
      </c>
      <c r="D425" s="3480" t="s">
        <v>3581</v>
      </c>
      <c r="E425" s="3482" t="str">
        <f t="shared" si="2"/>
        <v>普通车位</v>
      </c>
      <c r="F425" s="3483">
        <v>30.07</v>
      </c>
    </row>
    <row r="426" spans="1:6">
      <c r="A426" s="3481">
        <v>422</v>
      </c>
      <c r="B426" s="3481" t="s">
        <v>3536</v>
      </c>
      <c r="C426" s="3481" t="s">
        <v>3536</v>
      </c>
      <c r="D426" s="3480" t="s">
        <v>3582</v>
      </c>
      <c r="E426" s="3482" t="str">
        <f t="shared" si="2"/>
        <v>普通车位</v>
      </c>
      <c r="F426" s="3483">
        <v>28.93</v>
      </c>
    </row>
    <row r="427" spans="1:6">
      <c r="A427" s="3481">
        <v>423</v>
      </c>
      <c r="B427" s="3481" t="s">
        <v>3536</v>
      </c>
      <c r="C427" s="3481" t="s">
        <v>3536</v>
      </c>
      <c r="D427" s="3480" t="s">
        <v>3583</v>
      </c>
      <c r="E427" s="3482" t="str">
        <f>E426</f>
        <v>普通车位</v>
      </c>
      <c r="F427" s="3483">
        <v>28.93</v>
      </c>
    </row>
    <row r="428" spans="1:6">
      <c r="A428" s="3481">
        <v>424</v>
      </c>
      <c r="B428" s="3481" t="s">
        <v>3536</v>
      </c>
      <c r="C428" s="3481" t="s">
        <v>3536</v>
      </c>
      <c r="D428" s="3480" t="s">
        <v>3584</v>
      </c>
      <c r="E428" s="3482" t="str">
        <f t="shared" si="2"/>
        <v>普通车位</v>
      </c>
      <c r="F428" s="3483">
        <v>30.07</v>
      </c>
    </row>
    <row r="429" spans="1:6">
      <c r="A429" s="3481">
        <v>425</v>
      </c>
      <c r="B429" s="3481" t="s">
        <v>3536</v>
      </c>
      <c r="C429" s="3481" t="s">
        <v>3536</v>
      </c>
      <c r="D429" s="3480" t="s">
        <v>3585</v>
      </c>
      <c r="E429" s="3482" t="str">
        <f t="shared" si="2"/>
        <v>普通车位</v>
      </c>
      <c r="F429" s="3483">
        <v>30.07</v>
      </c>
    </row>
    <row r="430" spans="1:6">
      <c r="A430" s="3481">
        <v>426</v>
      </c>
      <c r="B430" s="3481" t="s">
        <v>3524</v>
      </c>
      <c r="C430" s="3481" t="s">
        <v>3524</v>
      </c>
      <c r="D430" s="3480" t="s">
        <v>3586</v>
      </c>
      <c r="E430" s="3482" t="str">
        <f t="shared" si="2"/>
        <v>普通车位</v>
      </c>
      <c r="F430" s="3483">
        <v>30.07</v>
      </c>
    </row>
    <row r="431" spans="1:6">
      <c r="A431" s="3481">
        <v>427</v>
      </c>
      <c r="B431" s="3481" t="s">
        <v>3524</v>
      </c>
      <c r="C431" s="3481" t="s">
        <v>3524</v>
      </c>
      <c r="D431" s="3480" t="s">
        <v>3587</v>
      </c>
      <c r="E431" s="3482" t="str">
        <f t="shared" si="2"/>
        <v>普通车位</v>
      </c>
      <c r="F431" s="3483">
        <v>30.07</v>
      </c>
    </row>
    <row r="432" spans="1:6">
      <c r="A432" s="3481">
        <v>428</v>
      </c>
      <c r="B432" s="3481" t="s">
        <v>3524</v>
      </c>
      <c r="C432" s="3481" t="s">
        <v>3524</v>
      </c>
      <c r="D432" s="3480" t="s">
        <v>3588</v>
      </c>
      <c r="E432" s="3482" t="str">
        <f t="shared" si="2"/>
        <v>普通车位</v>
      </c>
      <c r="F432" s="3483">
        <v>30.07</v>
      </c>
    </row>
    <row r="433" spans="1:6">
      <c r="A433" s="3481">
        <v>429</v>
      </c>
      <c r="B433" s="3481" t="s">
        <v>3524</v>
      </c>
      <c r="C433" s="3481" t="s">
        <v>3524</v>
      </c>
      <c r="D433" s="3480" t="s">
        <v>3589</v>
      </c>
      <c r="E433" s="3482" t="str">
        <f t="shared" si="2"/>
        <v>普通车位</v>
      </c>
      <c r="F433" s="3483">
        <v>30.07</v>
      </c>
    </row>
    <row r="434" spans="1:6">
      <c r="A434" s="3481">
        <v>430</v>
      </c>
      <c r="B434" s="3481" t="s">
        <v>3524</v>
      </c>
      <c r="C434" s="3481" t="s">
        <v>3524</v>
      </c>
      <c r="D434" s="3480" t="s">
        <v>3590</v>
      </c>
      <c r="E434" s="3482" t="str">
        <f t="shared" si="2"/>
        <v>普通车位</v>
      </c>
      <c r="F434" s="3483">
        <v>30.07</v>
      </c>
    </row>
    <row r="435" spans="1:6">
      <c r="A435" s="3481">
        <v>431</v>
      </c>
      <c r="B435" s="3481" t="s">
        <v>3524</v>
      </c>
      <c r="C435" s="3481" t="s">
        <v>3524</v>
      </c>
      <c r="D435" s="3480" t="s">
        <v>3591</v>
      </c>
      <c r="E435" s="3482" t="str">
        <f t="shared" si="2"/>
        <v>普通车位</v>
      </c>
      <c r="F435" s="3483">
        <v>30.07</v>
      </c>
    </row>
    <row r="436" spans="1:6">
      <c r="A436" s="3481">
        <v>432</v>
      </c>
      <c r="B436" s="3481" t="s">
        <v>3536</v>
      </c>
      <c r="C436" s="3481" t="s">
        <v>3536</v>
      </c>
      <c r="D436" s="3480" t="s">
        <v>3592</v>
      </c>
      <c r="E436" s="3482" t="str">
        <f t="shared" si="2"/>
        <v>普通车位</v>
      </c>
      <c r="F436" s="3483">
        <v>30.07</v>
      </c>
    </row>
    <row r="437" spans="1:6">
      <c r="A437" s="3481">
        <v>433</v>
      </c>
      <c r="B437" s="3481" t="s">
        <v>3536</v>
      </c>
      <c r="C437" s="3481" t="s">
        <v>3536</v>
      </c>
      <c r="D437" s="3480" t="s">
        <v>3593</v>
      </c>
      <c r="E437" s="3482" t="s">
        <v>3529</v>
      </c>
      <c r="F437" s="3483">
        <v>28.93</v>
      </c>
    </row>
    <row r="438" spans="1:6">
      <c r="A438" s="3481">
        <v>434</v>
      </c>
      <c r="B438" s="3481" t="s">
        <v>3536</v>
      </c>
      <c r="C438" s="3481" t="s">
        <v>3536</v>
      </c>
      <c r="D438" s="3480" t="s">
        <v>3594</v>
      </c>
      <c r="E438" s="3482" t="s">
        <v>3529</v>
      </c>
      <c r="F438" s="3483">
        <v>28.93</v>
      </c>
    </row>
    <row r="439" spans="1:6">
      <c r="A439" s="3481">
        <v>435</v>
      </c>
      <c r="B439" s="3481" t="s">
        <v>3536</v>
      </c>
      <c r="C439" s="3481" t="s">
        <v>3536</v>
      </c>
      <c r="D439" s="3480" t="s">
        <v>3595</v>
      </c>
      <c r="E439" s="3482" t="s">
        <v>3529</v>
      </c>
      <c r="F439" s="3483">
        <v>28.93</v>
      </c>
    </row>
    <row r="440" spans="1:6">
      <c r="A440" s="3481">
        <v>436</v>
      </c>
      <c r="B440" s="3481" t="s">
        <v>3536</v>
      </c>
      <c r="C440" s="3481" t="s">
        <v>3536</v>
      </c>
      <c r="D440" s="3480" t="s">
        <v>3596</v>
      </c>
      <c r="E440" s="3482" t="s">
        <v>3529</v>
      </c>
      <c r="F440" s="3483">
        <v>28.93</v>
      </c>
    </row>
    <row r="441" spans="1:6">
      <c r="A441" s="3481">
        <v>437</v>
      </c>
      <c r="B441" s="3481" t="s">
        <v>3536</v>
      </c>
      <c r="C441" s="3481" t="s">
        <v>3536</v>
      </c>
      <c r="D441" s="3480" t="s">
        <v>3597</v>
      </c>
      <c r="E441" s="3482" t="s">
        <v>3529</v>
      </c>
      <c r="F441" s="3483">
        <v>28.93</v>
      </c>
    </row>
    <row r="442" spans="1:6">
      <c r="A442" s="3481">
        <v>438</v>
      </c>
      <c r="B442" s="3481" t="s">
        <v>3536</v>
      </c>
      <c r="C442" s="3481" t="s">
        <v>3536</v>
      </c>
      <c r="D442" s="3480" t="s">
        <v>3598</v>
      </c>
      <c r="E442" s="3482" t="s">
        <v>3529</v>
      </c>
      <c r="F442" s="3483">
        <v>28.93</v>
      </c>
    </row>
    <row r="443" spans="1:6">
      <c r="A443" s="3481">
        <v>439</v>
      </c>
      <c r="B443" s="3481" t="s">
        <v>3536</v>
      </c>
      <c r="C443" s="3481" t="s">
        <v>3536</v>
      </c>
      <c r="D443" s="3480" t="s">
        <v>3599</v>
      </c>
      <c r="E443" s="3482" t="s">
        <v>3529</v>
      </c>
      <c r="F443" s="3483">
        <v>28.93</v>
      </c>
    </row>
    <row r="444" spans="1:6">
      <c r="A444" s="3481">
        <v>440</v>
      </c>
      <c r="B444" s="3481" t="s">
        <v>3536</v>
      </c>
      <c r="C444" s="3481" t="s">
        <v>3536</v>
      </c>
      <c r="D444" s="3480" t="s">
        <v>3600</v>
      </c>
      <c r="E444" s="3482" t="s">
        <v>3529</v>
      </c>
      <c r="F444" s="3483">
        <v>28.93</v>
      </c>
    </row>
    <row r="445" spans="1:6">
      <c r="A445" s="3481">
        <v>441</v>
      </c>
      <c r="B445" s="3481" t="s">
        <v>3536</v>
      </c>
      <c r="C445" s="3481" t="s">
        <v>3536</v>
      </c>
      <c r="D445" s="3480" t="s">
        <v>3601</v>
      </c>
      <c r="E445" s="3482" t="s">
        <v>3529</v>
      </c>
      <c r="F445" s="3483">
        <v>28.93</v>
      </c>
    </row>
    <row r="446" spans="1:6">
      <c r="A446" s="3481">
        <v>442</v>
      </c>
      <c r="B446" s="3481" t="s">
        <v>3536</v>
      </c>
      <c r="C446" s="3481" t="s">
        <v>3536</v>
      </c>
      <c r="D446" s="3480" t="s">
        <v>3602</v>
      </c>
      <c r="E446" s="3482" t="s">
        <v>3529</v>
      </c>
      <c r="F446" s="3483">
        <v>30.07</v>
      </c>
    </row>
    <row r="447" spans="1:6">
      <c r="A447" s="3481">
        <v>443</v>
      </c>
      <c r="B447" s="3481" t="s">
        <v>3536</v>
      </c>
      <c r="C447" s="3481" t="s">
        <v>3536</v>
      </c>
      <c r="D447" s="3480" t="s">
        <v>3603</v>
      </c>
      <c r="E447" s="3482" t="s">
        <v>3529</v>
      </c>
      <c r="F447" s="3483">
        <v>30.07</v>
      </c>
    </row>
    <row r="448" spans="1:6">
      <c r="A448" s="3481">
        <v>444</v>
      </c>
      <c r="B448" s="3481" t="s">
        <v>3536</v>
      </c>
      <c r="C448" s="3481" t="s">
        <v>3536</v>
      </c>
      <c r="D448" s="3480" t="s">
        <v>3604</v>
      </c>
      <c r="E448" s="3482" t="s">
        <v>3605</v>
      </c>
      <c r="F448" s="3483">
        <v>57.87</v>
      </c>
    </row>
    <row r="449" spans="1:6">
      <c r="A449" s="3481">
        <v>445</v>
      </c>
      <c r="B449" s="3481" t="s">
        <v>3536</v>
      </c>
      <c r="C449" s="3481" t="s">
        <v>3536</v>
      </c>
      <c r="D449" s="3480" t="s">
        <v>3606</v>
      </c>
      <c r="E449" s="3482" t="s">
        <v>3605</v>
      </c>
      <c r="F449" s="3483">
        <v>57.87</v>
      </c>
    </row>
    <row r="450" spans="1:6">
      <c r="A450" s="3481">
        <v>446</v>
      </c>
      <c r="B450" s="3481" t="s">
        <v>3536</v>
      </c>
      <c r="C450" s="3481" t="s">
        <v>3536</v>
      </c>
      <c r="D450" s="3480" t="s">
        <v>3607</v>
      </c>
      <c r="E450" s="3482" t="s">
        <v>3605</v>
      </c>
      <c r="F450" s="3483">
        <v>57.87</v>
      </c>
    </row>
    <row r="451" spans="1:6">
      <c r="A451" s="3481">
        <v>447</v>
      </c>
      <c r="B451" s="3481" t="s">
        <v>3571</v>
      </c>
      <c r="C451" s="3481" t="s">
        <v>3571</v>
      </c>
      <c r="D451" s="3480" t="s">
        <v>3608</v>
      </c>
      <c r="E451" s="3482" t="s">
        <v>3529</v>
      </c>
      <c r="F451" s="3483">
        <v>28.93</v>
      </c>
    </row>
    <row r="452" spans="1:6">
      <c r="A452" s="3481">
        <v>448</v>
      </c>
      <c r="B452" s="3481" t="s">
        <v>3571</v>
      </c>
      <c r="C452" s="3481" t="s">
        <v>3571</v>
      </c>
      <c r="D452" s="3480" t="s">
        <v>3609</v>
      </c>
      <c r="E452" s="3482" t="s">
        <v>3529</v>
      </c>
      <c r="F452" s="3483">
        <v>28.93</v>
      </c>
    </row>
    <row r="453" spans="1:6">
      <c r="A453" s="3481">
        <v>449</v>
      </c>
      <c r="B453" s="3481" t="s">
        <v>3571</v>
      </c>
      <c r="C453" s="3481" t="s">
        <v>3571</v>
      </c>
      <c r="D453" s="3480" t="s">
        <v>3610</v>
      </c>
      <c r="E453" s="3482" t="s">
        <v>3529</v>
      </c>
      <c r="F453" s="3483">
        <v>28.93</v>
      </c>
    </row>
    <row r="454" spans="1:6">
      <c r="A454" s="3481">
        <v>450</v>
      </c>
      <c r="B454" s="3481" t="s">
        <v>3569</v>
      </c>
      <c r="C454" s="3481" t="s">
        <v>3569</v>
      </c>
      <c r="D454" s="3480" t="s">
        <v>3611</v>
      </c>
      <c r="E454" s="3482" t="s">
        <v>3529</v>
      </c>
      <c r="F454" s="3483">
        <v>28.93</v>
      </c>
    </row>
    <row r="455" spans="1:6">
      <c r="A455" s="3481">
        <v>451</v>
      </c>
      <c r="B455" s="3481" t="s">
        <v>3569</v>
      </c>
      <c r="C455" s="3481" t="s">
        <v>3569</v>
      </c>
      <c r="D455" s="3480" t="s">
        <v>3612</v>
      </c>
      <c r="E455" s="3482" t="s">
        <v>3529</v>
      </c>
      <c r="F455" s="3483">
        <v>28.93</v>
      </c>
    </row>
    <row r="456" spans="1:6">
      <c r="A456" s="3481">
        <v>452</v>
      </c>
      <c r="B456" s="3481" t="s">
        <v>3569</v>
      </c>
      <c r="C456" s="3481" t="s">
        <v>3569</v>
      </c>
      <c r="D456" s="3480" t="s">
        <v>3613</v>
      </c>
      <c r="E456" s="3482" t="s">
        <v>3529</v>
      </c>
      <c r="F456" s="3483">
        <v>28.93</v>
      </c>
    </row>
    <row r="457" spans="1:6">
      <c r="A457" s="3481">
        <v>453</v>
      </c>
      <c r="B457" s="3481" t="s">
        <v>3569</v>
      </c>
      <c r="C457" s="3481" t="s">
        <v>3569</v>
      </c>
      <c r="D457" s="3480" t="s">
        <v>3614</v>
      </c>
      <c r="E457" s="3482" t="s">
        <v>3529</v>
      </c>
      <c r="F457" s="3483">
        <v>28.93</v>
      </c>
    </row>
    <row r="458" spans="1:6">
      <c r="A458" s="3481">
        <v>454</v>
      </c>
      <c r="B458" s="3481" t="s">
        <v>3569</v>
      </c>
      <c r="C458" s="3481" t="s">
        <v>3569</v>
      </c>
      <c r="D458" s="3480" t="s">
        <v>3615</v>
      </c>
      <c r="E458" s="3482" t="s">
        <v>3529</v>
      </c>
      <c r="F458" s="3483">
        <v>28.93</v>
      </c>
    </row>
    <row r="459" spans="1:6">
      <c r="A459" s="3481">
        <v>455</v>
      </c>
      <c r="B459" s="3481" t="s">
        <v>3569</v>
      </c>
      <c r="C459" s="3481" t="s">
        <v>3569</v>
      </c>
      <c r="D459" s="3480" t="s">
        <v>3616</v>
      </c>
      <c r="E459" s="3482" t="s">
        <v>3529</v>
      </c>
      <c r="F459" s="3483">
        <v>28.93</v>
      </c>
    </row>
    <row r="460" spans="1:6">
      <c r="A460" s="3481">
        <v>456</v>
      </c>
      <c r="B460" s="3481" t="s">
        <v>3569</v>
      </c>
      <c r="C460" s="3481" t="s">
        <v>3569</v>
      </c>
      <c r="D460" s="3480" t="s">
        <v>3617</v>
      </c>
      <c r="E460" s="3482" t="s">
        <v>3605</v>
      </c>
      <c r="F460" s="3483">
        <v>57.87</v>
      </c>
    </row>
    <row r="461" spans="1:6">
      <c r="A461" s="3481">
        <v>457</v>
      </c>
      <c r="B461" s="3481" t="s">
        <v>3569</v>
      </c>
      <c r="C461" s="3481" t="s">
        <v>3569</v>
      </c>
      <c r="D461" s="3480" t="s">
        <v>3618</v>
      </c>
      <c r="E461" s="3482" t="s">
        <v>3531</v>
      </c>
      <c r="F461" s="3483">
        <v>52.48</v>
      </c>
    </row>
    <row r="462" spans="1:6">
      <c r="A462" s="3481">
        <v>458</v>
      </c>
      <c r="B462" s="3481" t="s">
        <v>3569</v>
      </c>
      <c r="C462" s="3481" t="s">
        <v>3569</v>
      </c>
      <c r="D462" s="3480" t="s">
        <v>3619</v>
      </c>
      <c r="E462" s="3482" t="s">
        <v>3529</v>
      </c>
      <c r="F462" s="3483">
        <v>30.07</v>
      </c>
    </row>
    <row r="463" spans="1:6">
      <c r="A463" s="3481">
        <v>459</v>
      </c>
      <c r="B463" s="3481" t="s">
        <v>3569</v>
      </c>
      <c r="C463" s="3481" t="s">
        <v>3569</v>
      </c>
      <c r="D463" s="3480" t="s">
        <v>3620</v>
      </c>
      <c r="E463" s="3482" t="s">
        <v>3533</v>
      </c>
      <c r="F463" s="3483">
        <v>23.66</v>
      </c>
    </row>
    <row r="464" spans="1:6">
      <c r="A464" s="3481">
        <v>460</v>
      </c>
      <c r="B464" s="3481" t="s">
        <v>3569</v>
      </c>
      <c r="C464" s="3481" t="s">
        <v>3569</v>
      </c>
      <c r="D464" s="3480" t="s">
        <v>3621</v>
      </c>
      <c r="E464" s="3482" t="s">
        <v>3533</v>
      </c>
      <c r="F464" s="3483">
        <v>23.66</v>
      </c>
    </row>
    <row r="465" spans="1:6">
      <c r="A465" s="3481">
        <v>461</v>
      </c>
      <c r="B465" s="3481" t="s">
        <v>3569</v>
      </c>
      <c r="C465" s="3481" t="s">
        <v>3569</v>
      </c>
      <c r="D465" s="3480" t="s">
        <v>3622</v>
      </c>
      <c r="E465" s="3482" t="s">
        <v>3529</v>
      </c>
      <c r="F465" s="3483">
        <v>30.07</v>
      </c>
    </row>
    <row r="466" spans="1:6">
      <c r="A466" s="3481">
        <v>462</v>
      </c>
      <c r="B466" s="3481" t="s">
        <v>3569</v>
      </c>
      <c r="C466" s="3481" t="s">
        <v>3569</v>
      </c>
      <c r="D466" s="3480" t="s">
        <v>3623</v>
      </c>
      <c r="E466" s="3482" t="s">
        <v>3529</v>
      </c>
      <c r="F466" s="3483">
        <v>30.07</v>
      </c>
    </row>
    <row r="467" spans="1:6">
      <c r="A467" s="3481">
        <v>463</v>
      </c>
      <c r="B467" s="3481" t="s">
        <v>3569</v>
      </c>
      <c r="C467" s="3481" t="s">
        <v>3569</v>
      </c>
      <c r="D467" s="3480" t="s">
        <v>3624</v>
      </c>
      <c r="E467" s="3482" t="s">
        <v>3529</v>
      </c>
      <c r="F467" s="3483">
        <v>30.07</v>
      </c>
    </row>
    <row r="468" spans="1:6">
      <c r="A468" s="3481">
        <v>464</v>
      </c>
      <c r="B468" s="3481" t="s">
        <v>3569</v>
      </c>
      <c r="C468" s="3481" t="s">
        <v>3569</v>
      </c>
      <c r="D468" s="3480" t="s">
        <v>3625</v>
      </c>
      <c r="E468" s="3482" t="s">
        <v>3529</v>
      </c>
      <c r="F468" s="3483">
        <v>30.07</v>
      </c>
    </row>
    <row r="469" spans="1:6">
      <c r="A469" s="3481">
        <v>465</v>
      </c>
      <c r="B469" s="3481" t="s">
        <v>3569</v>
      </c>
      <c r="C469" s="3481" t="s">
        <v>3569</v>
      </c>
      <c r="D469" s="3480" t="s">
        <v>3626</v>
      </c>
      <c r="E469" s="3482" t="s">
        <v>3529</v>
      </c>
      <c r="F469" s="3483">
        <v>28.93</v>
      </c>
    </row>
    <row r="470" spans="1:6">
      <c r="A470" s="3481">
        <v>466</v>
      </c>
      <c r="B470" s="3481" t="s">
        <v>3569</v>
      </c>
      <c r="C470" s="3481" t="s">
        <v>3569</v>
      </c>
      <c r="D470" s="3480" t="s">
        <v>3627</v>
      </c>
      <c r="E470" s="3482" t="s">
        <v>3529</v>
      </c>
      <c r="F470" s="3483">
        <v>28.93</v>
      </c>
    </row>
    <row r="471" spans="1:6">
      <c r="A471" s="3481">
        <v>467</v>
      </c>
      <c r="B471" s="3481" t="s">
        <v>3569</v>
      </c>
      <c r="C471" s="3481" t="s">
        <v>3569</v>
      </c>
      <c r="D471" s="3480" t="s">
        <v>3628</v>
      </c>
      <c r="E471" s="3482" t="s">
        <v>3529</v>
      </c>
      <c r="F471" s="3483">
        <v>28.93</v>
      </c>
    </row>
    <row r="472" spans="1:6">
      <c r="A472" s="3481">
        <v>468</v>
      </c>
      <c r="B472" s="3481" t="s">
        <v>3569</v>
      </c>
      <c r="C472" s="3481" t="s">
        <v>3569</v>
      </c>
      <c r="D472" s="3480" t="s">
        <v>3629</v>
      </c>
      <c r="E472" s="3482" t="s">
        <v>3529</v>
      </c>
      <c r="F472" s="3483">
        <v>28.93</v>
      </c>
    </row>
    <row r="473" spans="1:6">
      <c r="A473" s="3481">
        <v>469</v>
      </c>
      <c r="B473" s="3481" t="s">
        <v>3569</v>
      </c>
      <c r="C473" s="3481" t="s">
        <v>3569</v>
      </c>
      <c r="D473" s="3480" t="s">
        <v>3630</v>
      </c>
      <c r="E473" s="3482" t="s">
        <v>3529</v>
      </c>
      <c r="F473" s="3483">
        <v>28.93</v>
      </c>
    </row>
    <row r="474" spans="1:6">
      <c r="A474" s="3481">
        <v>470</v>
      </c>
      <c r="B474" s="3481" t="s">
        <v>3569</v>
      </c>
      <c r="C474" s="3481" t="s">
        <v>3569</v>
      </c>
      <c r="D474" s="3480" t="s">
        <v>3631</v>
      </c>
      <c r="E474" s="3482" t="s">
        <v>3529</v>
      </c>
      <c r="F474" s="3483">
        <v>28.93</v>
      </c>
    </row>
    <row r="475" spans="1:6">
      <c r="A475" s="3481">
        <v>471</v>
      </c>
      <c r="B475" s="3481" t="s">
        <v>3569</v>
      </c>
      <c r="C475" s="3481" t="s">
        <v>3569</v>
      </c>
      <c r="D475" s="3480" t="s">
        <v>3632</v>
      </c>
      <c r="E475" s="3482" t="s">
        <v>3605</v>
      </c>
      <c r="F475" s="3483">
        <v>59</v>
      </c>
    </row>
    <row r="476" spans="1:6">
      <c r="A476" s="3481">
        <v>472</v>
      </c>
      <c r="B476" s="3481" t="s">
        <v>3569</v>
      </c>
      <c r="C476" s="3481" t="s">
        <v>3569</v>
      </c>
      <c r="D476" s="3480" t="s">
        <v>3633</v>
      </c>
      <c r="E476" s="3482" t="s">
        <v>3605</v>
      </c>
      <c r="F476" s="3483">
        <v>59</v>
      </c>
    </row>
    <row r="477" spans="1:6">
      <c r="A477" s="3481">
        <v>473</v>
      </c>
      <c r="B477" s="3481" t="s">
        <v>3569</v>
      </c>
      <c r="C477" s="3481" t="s">
        <v>3569</v>
      </c>
      <c r="D477" s="3480" t="s">
        <v>3634</v>
      </c>
      <c r="E477" s="3482" t="s">
        <v>3529</v>
      </c>
      <c r="F477" s="3483">
        <v>30.07</v>
      </c>
    </row>
    <row r="478" spans="1:6">
      <c r="A478" s="3481">
        <v>474</v>
      </c>
      <c r="B478" s="3481" t="s">
        <v>3569</v>
      </c>
      <c r="C478" s="3481" t="s">
        <v>3569</v>
      </c>
      <c r="D478" s="3480" t="s">
        <v>3635</v>
      </c>
      <c r="E478" s="3482" t="s">
        <v>3529</v>
      </c>
      <c r="F478" s="3483">
        <v>34.04</v>
      </c>
    </row>
    <row r="479" spans="1:6">
      <c r="A479" s="3481">
        <v>475</v>
      </c>
      <c r="B479" s="3481" t="s">
        <v>3569</v>
      </c>
      <c r="C479" s="3481" t="s">
        <v>3569</v>
      </c>
      <c r="D479" s="3480" t="s">
        <v>3636</v>
      </c>
      <c r="E479" s="3482" t="s">
        <v>3637</v>
      </c>
      <c r="F479" s="3483">
        <v>60.14</v>
      </c>
    </row>
    <row r="480" spans="1:6">
      <c r="A480" s="3481">
        <v>476</v>
      </c>
      <c r="B480" s="3481" t="s">
        <v>3569</v>
      </c>
      <c r="C480" s="3481" t="s">
        <v>3569</v>
      </c>
      <c r="D480" s="3480" t="s">
        <v>3638</v>
      </c>
      <c r="E480" s="3482" t="s">
        <v>3637</v>
      </c>
      <c r="F480" s="3483">
        <v>60.14</v>
      </c>
    </row>
    <row r="481" spans="1:6">
      <c r="A481" s="3481">
        <v>477</v>
      </c>
      <c r="B481" s="3481" t="s">
        <v>3569</v>
      </c>
      <c r="C481" s="3481" t="s">
        <v>3569</v>
      </c>
      <c r="D481" s="3480" t="s">
        <v>3639</v>
      </c>
      <c r="E481" s="3482" t="s">
        <v>3637</v>
      </c>
      <c r="F481" s="3483">
        <v>60.14</v>
      </c>
    </row>
    <row r="482" spans="1:6">
      <c r="A482" s="3481">
        <v>478</v>
      </c>
      <c r="B482" s="3481" t="s">
        <v>3569</v>
      </c>
      <c r="C482" s="3481" t="s">
        <v>3569</v>
      </c>
      <c r="D482" s="3480" t="s">
        <v>3640</v>
      </c>
      <c r="E482" s="3482" t="s">
        <v>3637</v>
      </c>
      <c r="F482" s="3483">
        <v>60.14</v>
      </c>
    </row>
    <row r="483" spans="1:6">
      <c r="A483" s="3481">
        <v>479</v>
      </c>
      <c r="B483" s="3481" t="s">
        <v>3569</v>
      </c>
      <c r="C483" s="3481" t="s">
        <v>3569</v>
      </c>
      <c r="D483" s="3480" t="s">
        <v>3641</v>
      </c>
      <c r="E483" s="3482" t="s">
        <v>3642</v>
      </c>
      <c r="F483" s="3483">
        <v>30.07</v>
      </c>
    </row>
    <row r="484" spans="1:6">
      <c r="A484" s="3481">
        <v>480</v>
      </c>
      <c r="B484" s="3481" t="s">
        <v>3569</v>
      </c>
      <c r="C484" s="3481" t="s">
        <v>3569</v>
      </c>
      <c r="D484" s="3480" t="s">
        <v>3643</v>
      </c>
      <c r="E484" s="3482" t="s">
        <v>3642</v>
      </c>
      <c r="F484" s="3483">
        <v>34.04</v>
      </c>
    </row>
    <row r="485" spans="1:6">
      <c r="A485" s="3481">
        <v>481</v>
      </c>
      <c r="B485" s="3481" t="s">
        <v>3569</v>
      </c>
      <c r="C485" s="3481" t="s">
        <v>3569</v>
      </c>
      <c r="D485" s="3480" t="s">
        <v>3644</v>
      </c>
      <c r="E485" s="3482" t="s">
        <v>3645</v>
      </c>
      <c r="F485" s="3483">
        <v>52.48</v>
      </c>
    </row>
    <row r="486" spans="1:6">
      <c r="A486" s="3481">
        <v>482</v>
      </c>
      <c r="B486" s="3481" t="s">
        <v>3569</v>
      </c>
      <c r="C486" s="3481" t="s">
        <v>3569</v>
      </c>
      <c r="D486" s="3480" t="s">
        <v>3646</v>
      </c>
      <c r="E486" s="3482" t="s">
        <v>3642</v>
      </c>
      <c r="F486" s="3483">
        <v>34.04</v>
      </c>
    </row>
    <row r="487" spans="1:6">
      <c r="A487" s="3481">
        <v>483</v>
      </c>
      <c r="B487" s="3481" t="s">
        <v>3569</v>
      </c>
      <c r="C487" s="3481" t="s">
        <v>3569</v>
      </c>
      <c r="D487" s="3480" t="s">
        <v>3647</v>
      </c>
      <c r="E487" s="3482" t="s">
        <v>3642</v>
      </c>
      <c r="F487" s="3483">
        <v>28.93</v>
      </c>
    </row>
    <row r="488" spans="1:6">
      <c r="A488" s="3481">
        <v>484</v>
      </c>
      <c r="B488" s="3481" t="s">
        <v>3569</v>
      </c>
      <c r="C488" s="3481" t="s">
        <v>3569</v>
      </c>
      <c r="D488" s="3480" t="s">
        <v>3648</v>
      </c>
      <c r="E488" s="3482" t="s">
        <v>3642</v>
      </c>
      <c r="F488" s="3483">
        <v>28.93</v>
      </c>
    </row>
    <row r="489" spans="1:6">
      <c r="A489" s="3481">
        <v>485</v>
      </c>
      <c r="B489" s="3481" t="s">
        <v>3569</v>
      </c>
      <c r="C489" s="3481" t="s">
        <v>3569</v>
      </c>
      <c r="D489" s="3480" t="s">
        <v>3649</v>
      </c>
      <c r="E489" s="3482" t="s">
        <v>3642</v>
      </c>
      <c r="F489" s="3483">
        <v>28.93</v>
      </c>
    </row>
    <row r="490" spans="1:6">
      <c r="A490" s="3481">
        <v>486</v>
      </c>
      <c r="B490" s="3481" t="s">
        <v>3569</v>
      </c>
      <c r="C490" s="3481" t="s">
        <v>3569</v>
      </c>
      <c r="D490" s="3480" t="s">
        <v>3650</v>
      </c>
      <c r="E490" s="3482" t="s">
        <v>3642</v>
      </c>
      <c r="F490" s="3483">
        <v>28.93</v>
      </c>
    </row>
    <row r="491" spans="1:6">
      <c r="A491" s="3481">
        <v>487</v>
      </c>
      <c r="B491" s="3481" t="s">
        <v>3569</v>
      </c>
      <c r="C491" s="3481" t="s">
        <v>3569</v>
      </c>
      <c r="D491" s="3480" t="s">
        <v>3651</v>
      </c>
      <c r="E491" s="3482" t="s">
        <v>3642</v>
      </c>
      <c r="F491" s="3483">
        <v>28.93</v>
      </c>
    </row>
    <row r="492" spans="1:6">
      <c r="A492" s="3481">
        <v>488</v>
      </c>
      <c r="B492" s="3481" t="s">
        <v>3569</v>
      </c>
      <c r="C492" s="3481" t="s">
        <v>3569</v>
      </c>
      <c r="D492" s="3480" t="s">
        <v>3652</v>
      </c>
      <c r="E492" s="3482" t="s">
        <v>3642</v>
      </c>
      <c r="F492" s="3483">
        <v>28.93</v>
      </c>
    </row>
    <row r="493" spans="1:6">
      <c r="A493" s="3481">
        <v>489</v>
      </c>
      <c r="B493" s="3481" t="s">
        <v>3569</v>
      </c>
      <c r="C493" s="3481" t="s">
        <v>3569</v>
      </c>
      <c r="D493" s="3480" t="s">
        <v>3653</v>
      </c>
      <c r="E493" s="3482" t="s">
        <v>3642</v>
      </c>
      <c r="F493" s="3483">
        <v>28.93</v>
      </c>
    </row>
    <row r="494" spans="1:6">
      <c r="A494" s="3481">
        <v>490</v>
      </c>
      <c r="B494" s="3481" t="s">
        <v>3569</v>
      </c>
      <c r="C494" s="3481" t="s">
        <v>3569</v>
      </c>
      <c r="D494" s="3480" t="s">
        <v>3654</v>
      </c>
      <c r="E494" s="3482" t="s">
        <v>3642</v>
      </c>
      <c r="F494" s="3483">
        <v>28.93</v>
      </c>
    </row>
    <row r="495" spans="1:6">
      <c r="A495" s="3481">
        <v>491</v>
      </c>
      <c r="B495" s="3481" t="s">
        <v>3569</v>
      </c>
      <c r="C495" s="3481" t="s">
        <v>3569</v>
      </c>
      <c r="D495" s="3480" t="s">
        <v>3655</v>
      </c>
      <c r="E495" s="3482" t="s">
        <v>3642</v>
      </c>
      <c r="F495" s="3483">
        <v>28.93</v>
      </c>
    </row>
    <row r="496" spans="1:6">
      <c r="A496" s="3481">
        <v>492</v>
      </c>
      <c r="B496" s="3481" t="s">
        <v>3569</v>
      </c>
      <c r="C496" s="3481" t="s">
        <v>3569</v>
      </c>
      <c r="D496" s="3480" t="s">
        <v>3656</v>
      </c>
      <c r="E496" s="3482" t="s">
        <v>3642</v>
      </c>
      <c r="F496" s="3483">
        <v>28.93</v>
      </c>
    </row>
    <row r="497" spans="1:6">
      <c r="A497" s="3481">
        <v>493</v>
      </c>
      <c r="B497" s="3481" t="s">
        <v>3569</v>
      </c>
      <c r="C497" s="3481" t="s">
        <v>3569</v>
      </c>
      <c r="D497" s="3480" t="s">
        <v>3657</v>
      </c>
      <c r="E497" s="3482" t="s">
        <v>3642</v>
      </c>
      <c r="F497" s="3483">
        <v>28.93</v>
      </c>
    </row>
    <row r="498" spans="1:6">
      <c r="A498" s="3481">
        <v>494</v>
      </c>
      <c r="B498" s="3481" t="s">
        <v>3569</v>
      </c>
      <c r="C498" s="3481" t="s">
        <v>3569</v>
      </c>
      <c r="D498" s="3480" t="s">
        <v>3658</v>
      </c>
      <c r="E498" s="3482" t="s">
        <v>3642</v>
      </c>
      <c r="F498" s="3483">
        <v>28.93</v>
      </c>
    </row>
    <row r="499" spans="1:6">
      <c r="A499" s="3481">
        <v>495</v>
      </c>
      <c r="B499" s="3481" t="s">
        <v>3569</v>
      </c>
      <c r="C499" s="3481" t="s">
        <v>3569</v>
      </c>
      <c r="D499" s="3480" t="s">
        <v>3659</v>
      </c>
      <c r="E499" s="3482" t="s">
        <v>3642</v>
      </c>
      <c r="F499" s="3483">
        <v>30.07</v>
      </c>
    </row>
    <row r="500" spans="1:6">
      <c r="A500" s="3481">
        <v>496</v>
      </c>
      <c r="B500" s="3481" t="s">
        <v>3569</v>
      </c>
      <c r="C500" s="3481" t="s">
        <v>3569</v>
      </c>
      <c r="D500" s="3480" t="s">
        <v>3660</v>
      </c>
      <c r="E500" s="3482" t="s">
        <v>3642</v>
      </c>
      <c r="F500" s="3483">
        <v>30.07</v>
      </c>
    </row>
    <row r="501" spans="1:6">
      <c r="A501" s="3481">
        <v>497</v>
      </c>
      <c r="B501" s="3481" t="s">
        <v>3569</v>
      </c>
      <c r="C501" s="3481" t="s">
        <v>3569</v>
      </c>
      <c r="D501" s="3480" t="s">
        <v>3661</v>
      </c>
      <c r="E501" s="3482" t="s">
        <v>3529</v>
      </c>
      <c r="F501" s="3483">
        <v>30.07</v>
      </c>
    </row>
    <row r="502" spans="1:6">
      <c r="A502" s="3481">
        <v>498</v>
      </c>
      <c r="B502" s="3481" t="s">
        <v>3569</v>
      </c>
      <c r="C502" s="3481" t="s">
        <v>3569</v>
      </c>
      <c r="D502" s="3480" t="s">
        <v>3662</v>
      </c>
      <c r="E502" s="3482" t="s">
        <v>3529</v>
      </c>
      <c r="F502" s="3483">
        <v>30.07</v>
      </c>
    </row>
    <row r="503" spans="1:6">
      <c r="A503" s="3481">
        <v>499</v>
      </c>
      <c r="B503" s="3481" t="s">
        <v>3569</v>
      </c>
      <c r="C503" s="3481" t="s">
        <v>3569</v>
      </c>
      <c r="D503" s="3480" t="s">
        <v>3663</v>
      </c>
      <c r="E503" s="3482" t="s">
        <v>3529</v>
      </c>
      <c r="F503" s="3483">
        <v>30.07</v>
      </c>
    </row>
    <row r="504" spans="1:6">
      <c r="A504" s="3481">
        <v>500</v>
      </c>
      <c r="B504" s="3481" t="s">
        <v>3569</v>
      </c>
      <c r="C504" s="3481" t="s">
        <v>3569</v>
      </c>
      <c r="D504" s="3480" t="s">
        <v>3664</v>
      </c>
      <c r="E504" s="3482" t="s">
        <v>3529</v>
      </c>
      <c r="F504" s="3483">
        <v>30.07</v>
      </c>
    </row>
    <row r="505" spans="1:6">
      <c r="A505" s="3481">
        <v>501</v>
      </c>
      <c r="B505" s="3481" t="s">
        <v>3569</v>
      </c>
      <c r="C505" s="3481" t="s">
        <v>3569</v>
      </c>
      <c r="D505" s="3480" t="s">
        <v>3665</v>
      </c>
      <c r="E505" s="3482" t="s">
        <v>3531</v>
      </c>
      <c r="F505" s="3483">
        <v>52.48</v>
      </c>
    </row>
    <row r="506" spans="1:6">
      <c r="A506" s="3481">
        <v>502</v>
      </c>
      <c r="B506" s="3481" t="s">
        <v>3569</v>
      </c>
      <c r="C506" s="3481" t="s">
        <v>3569</v>
      </c>
      <c r="D506" s="3480" t="s">
        <v>3666</v>
      </c>
      <c r="E506" s="3482" t="s">
        <v>3531</v>
      </c>
      <c r="F506" s="3483">
        <v>52.48</v>
      </c>
    </row>
    <row r="507" spans="1:6">
      <c r="A507" s="3481">
        <v>503</v>
      </c>
      <c r="B507" s="3481" t="s">
        <v>3569</v>
      </c>
      <c r="C507" s="3481" t="s">
        <v>3569</v>
      </c>
      <c r="D507" s="3480" t="s">
        <v>3667</v>
      </c>
      <c r="E507" s="3482" t="s">
        <v>3529</v>
      </c>
      <c r="F507" s="3483">
        <v>34.04</v>
      </c>
    </row>
    <row r="508" spans="1:6">
      <c r="A508" s="3481">
        <v>504</v>
      </c>
      <c r="B508" s="3481" t="s">
        <v>3569</v>
      </c>
      <c r="C508" s="3481" t="s">
        <v>3569</v>
      </c>
      <c r="D508" s="3480" t="s">
        <v>3668</v>
      </c>
      <c r="E508" s="3482" t="s">
        <v>3533</v>
      </c>
      <c r="F508" s="3483">
        <v>21.32</v>
      </c>
    </row>
    <row r="509" spans="1:6">
      <c r="A509" s="3481">
        <v>505</v>
      </c>
      <c r="B509" s="3481" t="s">
        <v>3569</v>
      </c>
      <c r="C509" s="3481" t="s">
        <v>3569</v>
      </c>
      <c r="D509" s="3480" t="s">
        <v>3669</v>
      </c>
      <c r="E509" s="3482" t="s">
        <v>3529</v>
      </c>
      <c r="F509" s="3483">
        <v>30.07</v>
      </c>
    </row>
    <row r="510" spans="1:6">
      <c r="A510" s="3481">
        <v>506</v>
      </c>
      <c r="B510" s="3481" t="s">
        <v>3569</v>
      </c>
      <c r="C510" s="3481" t="s">
        <v>3569</v>
      </c>
      <c r="D510" s="3480" t="s">
        <v>3670</v>
      </c>
      <c r="E510" s="3482" t="s">
        <v>3529</v>
      </c>
      <c r="F510" s="3483">
        <v>30.07</v>
      </c>
    </row>
    <row r="511" spans="1:6">
      <c r="A511" s="3481">
        <v>507</v>
      </c>
      <c r="B511" s="3481" t="s">
        <v>3569</v>
      </c>
      <c r="C511" s="3481" t="s">
        <v>3569</v>
      </c>
      <c r="D511" s="3480" t="s">
        <v>3671</v>
      </c>
      <c r="E511" s="3482" t="s">
        <v>3529</v>
      </c>
      <c r="F511" s="3483">
        <v>30.07</v>
      </c>
    </row>
    <row r="512" spans="1:6">
      <c r="A512" s="3481">
        <v>508</v>
      </c>
      <c r="B512" s="3481" t="s">
        <v>3569</v>
      </c>
      <c r="C512" s="3481" t="s">
        <v>3569</v>
      </c>
      <c r="D512" s="3480" t="s">
        <v>3672</v>
      </c>
      <c r="E512" s="3482" t="s">
        <v>3529</v>
      </c>
      <c r="F512" s="3483">
        <v>30.07</v>
      </c>
    </row>
    <row r="513" spans="1:6">
      <c r="A513" s="3481">
        <v>509</v>
      </c>
      <c r="B513" s="3481" t="s">
        <v>3569</v>
      </c>
      <c r="C513" s="3481" t="s">
        <v>3569</v>
      </c>
      <c r="D513" s="3480" t="s">
        <v>3673</v>
      </c>
      <c r="E513" s="3482" t="s">
        <v>3529</v>
      </c>
      <c r="F513" s="3483">
        <v>30.07</v>
      </c>
    </row>
    <row r="514" spans="1:6">
      <c r="A514" s="3481">
        <v>510</v>
      </c>
      <c r="B514" s="3481" t="s">
        <v>3569</v>
      </c>
      <c r="C514" s="3481" t="s">
        <v>3569</v>
      </c>
      <c r="D514" s="3480" t="s">
        <v>3674</v>
      </c>
      <c r="E514" s="3482" t="s">
        <v>3529</v>
      </c>
      <c r="F514" s="3483">
        <v>30.07</v>
      </c>
    </row>
    <row r="515" spans="1:6">
      <c r="A515" s="3481">
        <v>511</v>
      </c>
      <c r="B515" s="3481" t="s">
        <v>3569</v>
      </c>
      <c r="C515" s="3481" t="s">
        <v>3569</v>
      </c>
      <c r="D515" s="3480" t="s">
        <v>3675</v>
      </c>
      <c r="E515" s="3482" t="s">
        <v>3529</v>
      </c>
      <c r="F515" s="3483">
        <v>30.07</v>
      </c>
    </row>
    <row r="516" spans="1:6">
      <c r="A516" s="3481">
        <v>512</v>
      </c>
      <c r="B516" s="3481" t="s">
        <v>3569</v>
      </c>
      <c r="C516" s="3481" t="s">
        <v>3569</v>
      </c>
      <c r="D516" s="3480" t="s">
        <v>3676</v>
      </c>
      <c r="E516" s="3482" t="s">
        <v>3529</v>
      </c>
      <c r="F516" s="3483">
        <v>30.07</v>
      </c>
    </row>
    <row r="517" spans="1:6">
      <c r="A517" s="3481">
        <v>513</v>
      </c>
      <c r="B517" s="3481" t="s">
        <v>3569</v>
      </c>
      <c r="C517" s="3481" t="s">
        <v>3569</v>
      </c>
      <c r="D517" s="3480" t="s">
        <v>3677</v>
      </c>
      <c r="E517" s="3482" t="s">
        <v>3529</v>
      </c>
      <c r="F517" s="3483">
        <v>30.07</v>
      </c>
    </row>
    <row r="518" spans="1:6">
      <c r="A518" s="3481">
        <v>514</v>
      </c>
      <c r="B518" s="3481" t="s">
        <v>3569</v>
      </c>
      <c r="C518" s="3481" t="s">
        <v>3569</v>
      </c>
      <c r="D518" s="3480" t="s">
        <v>3678</v>
      </c>
      <c r="E518" s="3482" t="s">
        <v>3529</v>
      </c>
      <c r="F518" s="3483">
        <v>30.07</v>
      </c>
    </row>
    <row r="519" spans="1:6">
      <c r="A519" s="3481">
        <v>515</v>
      </c>
      <c r="B519" s="3481" t="s">
        <v>3569</v>
      </c>
      <c r="C519" s="3481" t="s">
        <v>3569</v>
      </c>
      <c r="D519" s="3480" t="s">
        <v>3679</v>
      </c>
      <c r="E519" s="3482" t="s">
        <v>3529</v>
      </c>
      <c r="F519" s="3483">
        <v>30.07</v>
      </c>
    </row>
    <row r="520" spans="1:6">
      <c r="A520" s="3481">
        <v>516</v>
      </c>
      <c r="B520" s="3481" t="s">
        <v>3569</v>
      </c>
      <c r="C520" s="3481" t="s">
        <v>3569</v>
      </c>
      <c r="D520" s="3480" t="s">
        <v>3680</v>
      </c>
      <c r="E520" s="3482" t="s">
        <v>3529</v>
      </c>
      <c r="F520" s="3483">
        <v>30.07</v>
      </c>
    </row>
    <row r="521" spans="1:6">
      <c r="A521" s="3481">
        <v>517</v>
      </c>
      <c r="B521" s="3481" t="s">
        <v>3569</v>
      </c>
      <c r="C521" s="3481" t="s">
        <v>3569</v>
      </c>
      <c r="D521" s="3480" t="s">
        <v>3681</v>
      </c>
      <c r="E521" s="3482" t="s">
        <v>3529</v>
      </c>
      <c r="F521" s="3483">
        <v>30.07</v>
      </c>
    </row>
    <row r="522" spans="1:6">
      <c r="A522" s="3481">
        <v>518</v>
      </c>
      <c r="B522" s="3481" t="s">
        <v>3569</v>
      </c>
      <c r="C522" s="3481" t="s">
        <v>3569</v>
      </c>
      <c r="D522" s="3480" t="s">
        <v>3682</v>
      </c>
      <c r="E522" s="3482" t="s">
        <v>3529</v>
      </c>
      <c r="F522" s="3483">
        <v>30.07</v>
      </c>
    </row>
    <row r="523" spans="1:6">
      <c r="A523" s="3481">
        <v>519</v>
      </c>
      <c r="B523" s="3481" t="s">
        <v>3569</v>
      </c>
      <c r="C523" s="3481" t="s">
        <v>3569</v>
      </c>
      <c r="D523" s="3480" t="s">
        <v>3683</v>
      </c>
      <c r="E523" s="3482" t="s">
        <v>3529</v>
      </c>
      <c r="F523" s="3483">
        <v>30.07</v>
      </c>
    </row>
    <row r="524" spans="1:6">
      <c r="A524" s="3481">
        <v>520</v>
      </c>
      <c r="B524" s="3481" t="s">
        <v>3569</v>
      </c>
      <c r="C524" s="3481" t="s">
        <v>3569</v>
      </c>
      <c r="D524" s="3480" t="s">
        <v>3684</v>
      </c>
      <c r="E524" s="3482" t="s">
        <v>3529</v>
      </c>
      <c r="F524" s="3483">
        <v>30.07</v>
      </c>
    </row>
    <row r="525" spans="1:6">
      <c r="A525" s="3481">
        <v>521</v>
      </c>
      <c r="B525" s="3481" t="s">
        <v>3569</v>
      </c>
      <c r="C525" s="3481" t="s">
        <v>3569</v>
      </c>
      <c r="D525" s="3480" t="s">
        <v>3685</v>
      </c>
      <c r="E525" s="3482" t="s">
        <v>3529</v>
      </c>
      <c r="F525" s="3483">
        <v>28.93</v>
      </c>
    </row>
    <row r="526" spans="1:6">
      <c r="A526" s="3481">
        <v>522</v>
      </c>
      <c r="B526" s="3481" t="s">
        <v>3569</v>
      </c>
      <c r="C526" s="3481" t="s">
        <v>3569</v>
      </c>
      <c r="D526" s="3480" t="s">
        <v>3686</v>
      </c>
      <c r="E526" s="3482" t="s">
        <v>3529</v>
      </c>
      <c r="F526" s="3483">
        <v>28.93</v>
      </c>
    </row>
    <row r="527" spans="1:6">
      <c r="A527" s="3481">
        <v>523</v>
      </c>
      <c r="B527" s="3481" t="s">
        <v>3569</v>
      </c>
      <c r="C527" s="3481" t="s">
        <v>3569</v>
      </c>
      <c r="D527" s="3480" t="s">
        <v>3687</v>
      </c>
      <c r="E527" s="3482" t="s">
        <v>3529</v>
      </c>
      <c r="F527" s="3483">
        <v>28.93</v>
      </c>
    </row>
    <row r="528" spans="1:6">
      <c r="A528" s="3481">
        <v>524</v>
      </c>
      <c r="B528" s="3481" t="s">
        <v>3569</v>
      </c>
      <c r="C528" s="3481" t="s">
        <v>3569</v>
      </c>
      <c r="D528" s="3480" t="s">
        <v>3688</v>
      </c>
      <c r="E528" s="3482" t="s">
        <v>3529</v>
      </c>
      <c r="F528" s="3483">
        <v>28.93</v>
      </c>
    </row>
    <row r="529" spans="1:6">
      <c r="A529" s="3481">
        <v>525</v>
      </c>
      <c r="B529" s="3481" t="s">
        <v>3569</v>
      </c>
      <c r="C529" s="3481" t="s">
        <v>3569</v>
      </c>
      <c r="D529" s="3480" t="s">
        <v>3689</v>
      </c>
      <c r="E529" s="3482" t="s">
        <v>3529</v>
      </c>
      <c r="F529" s="3483">
        <v>28.93</v>
      </c>
    </row>
    <row r="530" spans="1:6">
      <c r="A530" s="3481">
        <v>526</v>
      </c>
      <c r="B530" s="3481" t="s">
        <v>3569</v>
      </c>
      <c r="C530" s="3481" t="s">
        <v>3569</v>
      </c>
      <c r="D530" s="3480" t="s">
        <v>3690</v>
      </c>
      <c r="E530" s="3482" t="s">
        <v>3529</v>
      </c>
      <c r="F530" s="3483">
        <v>30.07</v>
      </c>
    </row>
    <row r="531" spans="1:6">
      <c r="A531" s="3481">
        <v>527</v>
      </c>
      <c r="B531" s="3481" t="s">
        <v>3569</v>
      </c>
      <c r="C531" s="3481" t="s">
        <v>3569</v>
      </c>
      <c r="D531" s="3480" t="s">
        <v>3691</v>
      </c>
      <c r="E531" s="3482" t="s">
        <v>3529</v>
      </c>
      <c r="F531" s="3483">
        <v>28.93</v>
      </c>
    </row>
    <row r="532" spans="1:6">
      <c r="A532" s="3481">
        <v>528</v>
      </c>
      <c r="B532" s="3481" t="s">
        <v>3569</v>
      </c>
      <c r="C532" s="3481" t="s">
        <v>3569</v>
      </c>
      <c r="D532" s="3480" t="s">
        <v>3692</v>
      </c>
      <c r="E532" s="3482" t="s">
        <v>3529</v>
      </c>
      <c r="F532" s="3483">
        <v>28.93</v>
      </c>
    </row>
    <row r="533" spans="1:6">
      <c r="A533" s="3481">
        <v>529</v>
      </c>
      <c r="B533" s="3481" t="s">
        <v>3569</v>
      </c>
      <c r="C533" s="3481" t="s">
        <v>3569</v>
      </c>
      <c r="D533" s="3480" t="s">
        <v>3693</v>
      </c>
      <c r="E533" s="3482" t="s">
        <v>3529</v>
      </c>
      <c r="F533" s="3483">
        <v>28.93</v>
      </c>
    </row>
    <row r="534" spans="1:6">
      <c r="A534" s="3481">
        <v>530</v>
      </c>
      <c r="B534" s="3481" t="s">
        <v>3569</v>
      </c>
      <c r="C534" s="3481" t="s">
        <v>3569</v>
      </c>
      <c r="D534" s="3480" t="s">
        <v>3694</v>
      </c>
      <c r="E534" s="3482" t="s">
        <v>3529</v>
      </c>
      <c r="F534" s="3483">
        <v>28.93</v>
      </c>
    </row>
    <row r="535" spans="1:6">
      <c r="A535" s="3481">
        <v>531</v>
      </c>
      <c r="B535" s="3481" t="s">
        <v>3569</v>
      </c>
      <c r="C535" s="3481" t="s">
        <v>3569</v>
      </c>
      <c r="D535" s="3480" t="s">
        <v>3695</v>
      </c>
      <c r="E535" s="3482" t="s">
        <v>3529</v>
      </c>
      <c r="F535" s="3483">
        <v>28.93</v>
      </c>
    </row>
    <row r="536" spans="1:6">
      <c r="A536" s="3481">
        <v>532</v>
      </c>
      <c r="B536" s="3481" t="s">
        <v>3569</v>
      </c>
      <c r="C536" s="3481" t="s">
        <v>3569</v>
      </c>
      <c r="D536" s="3480" t="s">
        <v>3696</v>
      </c>
      <c r="E536" s="3482" t="s">
        <v>3529</v>
      </c>
      <c r="F536" s="3483">
        <v>28.93</v>
      </c>
    </row>
    <row r="537" spans="1:6">
      <c r="A537" s="3481">
        <v>533</v>
      </c>
      <c r="B537" s="3481" t="s">
        <v>3569</v>
      </c>
      <c r="C537" s="3481" t="s">
        <v>3569</v>
      </c>
      <c r="D537" s="3480" t="s">
        <v>3697</v>
      </c>
      <c r="E537" s="3482" t="s">
        <v>3529</v>
      </c>
      <c r="F537" s="3483">
        <v>28.93</v>
      </c>
    </row>
    <row r="538" spans="1:6">
      <c r="A538" s="3481">
        <v>534</v>
      </c>
      <c r="B538" s="3481" t="s">
        <v>3569</v>
      </c>
      <c r="C538" s="3481" t="s">
        <v>3569</v>
      </c>
      <c r="D538" s="3480" t="s">
        <v>3698</v>
      </c>
      <c r="E538" s="3482" t="s">
        <v>3529</v>
      </c>
      <c r="F538" s="3483">
        <v>28.93</v>
      </c>
    </row>
    <row r="539" spans="1:6">
      <c r="A539" s="3481">
        <v>535</v>
      </c>
      <c r="B539" s="3481" t="s">
        <v>3569</v>
      </c>
      <c r="C539" s="3481" t="s">
        <v>3569</v>
      </c>
      <c r="D539" s="3480" t="s">
        <v>3699</v>
      </c>
      <c r="E539" s="3482" t="s">
        <v>3529</v>
      </c>
      <c r="F539" s="3483">
        <v>28.93</v>
      </c>
    </row>
    <row r="540" spans="1:6">
      <c r="A540" s="3481">
        <v>536</v>
      </c>
      <c r="B540" s="3481" t="s">
        <v>3569</v>
      </c>
      <c r="C540" s="3481" t="s">
        <v>3569</v>
      </c>
      <c r="D540" s="3480" t="s">
        <v>3700</v>
      </c>
      <c r="E540" s="3482" t="s">
        <v>3529</v>
      </c>
      <c r="F540" s="3483">
        <v>28.93</v>
      </c>
    </row>
    <row r="541" spans="1:6">
      <c r="A541" s="3481">
        <v>537</v>
      </c>
      <c r="B541" s="3481" t="s">
        <v>3569</v>
      </c>
      <c r="C541" s="3481" t="s">
        <v>3569</v>
      </c>
      <c r="D541" s="3480" t="s">
        <v>3701</v>
      </c>
      <c r="E541" s="3482" t="s">
        <v>3529</v>
      </c>
      <c r="F541" s="3483">
        <v>28.93</v>
      </c>
    </row>
    <row r="542" spans="1:6">
      <c r="A542" s="3481">
        <v>538</v>
      </c>
      <c r="B542" s="3481" t="s">
        <v>3569</v>
      </c>
      <c r="C542" s="3481" t="s">
        <v>3569</v>
      </c>
      <c r="D542" s="3480" t="s">
        <v>3702</v>
      </c>
      <c r="E542" s="3482" t="s">
        <v>3529</v>
      </c>
      <c r="F542" s="3483">
        <v>28.93</v>
      </c>
    </row>
    <row r="543" spans="1:6">
      <c r="A543" s="3481">
        <v>539</v>
      </c>
      <c r="B543" s="3481" t="s">
        <v>3569</v>
      </c>
      <c r="C543" s="3481" t="s">
        <v>3569</v>
      </c>
      <c r="D543" s="3480" t="s">
        <v>3703</v>
      </c>
      <c r="E543" s="3482" t="s">
        <v>3529</v>
      </c>
      <c r="F543" s="3483">
        <v>28.93</v>
      </c>
    </row>
    <row r="544" spans="1:6">
      <c r="A544" s="3481">
        <v>540</v>
      </c>
      <c r="B544" s="3481" t="s">
        <v>3569</v>
      </c>
      <c r="C544" s="3481" t="s">
        <v>3569</v>
      </c>
      <c r="D544" s="3480" t="s">
        <v>3704</v>
      </c>
      <c r="E544" s="3482" t="s">
        <v>3529</v>
      </c>
      <c r="F544" s="3483">
        <v>28.93</v>
      </c>
    </row>
    <row r="545" spans="1:6">
      <c r="A545" s="3481">
        <v>541</v>
      </c>
      <c r="B545" s="3481" t="s">
        <v>3569</v>
      </c>
      <c r="C545" s="3481" t="s">
        <v>3569</v>
      </c>
      <c r="D545" s="3480" t="s">
        <v>3705</v>
      </c>
      <c r="E545" s="3482" t="s">
        <v>3529</v>
      </c>
      <c r="F545" s="3483">
        <v>28.93</v>
      </c>
    </row>
    <row r="546" spans="1:6">
      <c r="A546" s="3481">
        <v>542</v>
      </c>
      <c r="B546" s="3481" t="s">
        <v>3569</v>
      </c>
      <c r="C546" s="3481" t="s">
        <v>3569</v>
      </c>
      <c r="D546" s="3480" t="s">
        <v>3706</v>
      </c>
      <c r="E546" s="3482" t="s">
        <v>3529</v>
      </c>
      <c r="F546" s="3483">
        <v>30.07</v>
      </c>
    </row>
    <row r="547" spans="1:6">
      <c r="A547" s="3481">
        <v>543</v>
      </c>
      <c r="B547" s="3481" t="s">
        <v>3569</v>
      </c>
      <c r="C547" s="3481" t="s">
        <v>3569</v>
      </c>
      <c r="D547" s="3480" t="s">
        <v>3707</v>
      </c>
      <c r="E547" s="3482" t="s">
        <v>3529</v>
      </c>
      <c r="F547" s="3483">
        <v>30.07</v>
      </c>
    </row>
    <row r="548" spans="1:6">
      <c r="A548" s="3481">
        <v>544</v>
      </c>
      <c r="B548" s="3481" t="s">
        <v>3569</v>
      </c>
      <c r="C548" s="3481" t="s">
        <v>3569</v>
      </c>
      <c r="D548" s="3480" t="s">
        <v>3708</v>
      </c>
      <c r="E548" s="3482" t="s">
        <v>3529</v>
      </c>
      <c r="F548" s="3483">
        <v>30.07</v>
      </c>
    </row>
    <row r="549" spans="1:6">
      <c r="A549" s="3481">
        <v>545</v>
      </c>
      <c r="B549" s="3481" t="s">
        <v>3569</v>
      </c>
      <c r="C549" s="3481" t="s">
        <v>3569</v>
      </c>
      <c r="D549" s="3480" t="s">
        <v>3709</v>
      </c>
      <c r="E549" s="3482" t="s">
        <v>3529</v>
      </c>
      <c r="F549" s="3483">
        <v>30.07</v>
      </c>
    </row>
    <row r="550" spans="1:6">
      <c r="A550" s="3481">
        <v>546</v>
      </c>
      <c r="B550" s="3481" t="s">
        <v>3569</v>
      </c>
      <c r="C550" s="3481" t="s">
        <v>3569</v>
      </c>
      <c r="D550" s="3480" t="s">
        <v>3710</v>
      </c>
      <c r="E550" s="3482" t="s">
        <v>3529</v>
      </c>
      <c r="F550" s="3483">
        <v>30.07</v>
      </c>
    </row>
    <row r="551" spans="1:6">
      <c r="A551" s="3481">
        <v>547</v>
      </c>
      <c r="B551" s="3481" t="s">
        <v>3569</v>
      </c>
      <c r="C551" s="3481" t="s">
        <v>3569</v>
      </c>
      <c r="D551" s="3480" t="s">
        <v>3711</v>
      </c>
      <c r="E551" s="3482" t="s">
        <v>3529</v>
      </c>
      <c r="F551" s="3483">
        <v>30.07</v>
      </c>
    </row>
    <row r="552" spans="1:6">
      <c r="A552" s="3481">
        <v>548</v>
      </c>
      <c r="B552" s="3481" t="s">
        <v>3569</v>
      </c>
      <c r="C552" s="3481" t="s">
        <v>3569</v>
      </c>
      <c r="D552" s="3480" t="s">
        <v>3712</v>
      </c>
      <c r="E552" s="3482" t="s">
        <v>3529</v>
      </c>
      <c r="F552" s="3483">
        <v>30.07</v>
      </c>
    </row>
    <row r="553" spans="1:6">
      <c r="A553" s="3481">
        <v>549</v>
      </c>
      <c r="B553" s="3481" t="s">
        <v>3569</v>
      </c>
      <c r="C553" s="3481" t="s">
        <v>3569</v>
      </c>
      <c r="D553" s="3480" t="s">
        <v>3713</v>
      </c>
      <c r="E553" s="3482" t="s">
        <v>3529</v>
      </c>
      <c r="F553" s="3483">
        <v>30.07</v>
      </c>
    </row>
    <row r="554" spans="1:6">
      <c r="A554" s="3481">
        <v>550</v>
      </c>
      <c r="B554" s="3481" t="s">
        <v>3569</v>
      </c>
      <c r="C554" s="3481" t="s">
        <v>3569</v>
      </c>
      <c r="D554" s="3480" t="s">
        <v>3714</v>
      </c>
      <c r="E554" s="3482" t="s">
        <v>3529</v>
      </c>
      <c r="F554" s="3483">
        <v>30.07</v>
      </c>
    </row>
    <row r="555" spans="1:6">
      <c r="A555" s="3481">
        <v>551</v>
      </c>
      <c r="B555" s="3481" t="s">
        <v>3569</v>
      </c>
      <c r="C555" s="3481" t="s">
        <v>3569</v>
      </c>
      <c r="D555" s="3480" t="s">
        <v>3715</v>
      </c>
      <c r="E555" s="3482" t="s">
        <v>3529</v>
      </c>
      <c r="F555" s="3483">
        <v>30.07</v>
      </c>
    </row>
    <row r="556" spans="1:6">
      <c r="A556" s="3481">
        <v>552</v>
      </c>
      <c r="B556" s="3481" t="s">
        <v>3569</v>
      </c>
      <c r="C556" s="3481" t="s">
        <v>3569</v>
      </c>
      <c r="D556" s="3480" t="s">
        <v>3716</v>
      </c>
      <c r="E556" s="3482" t="s">
        <v>3529</v>
      </c>
      <c r="F556" s="3483">
        <v>30.07</v>
      </c>
    </row>
    <row r="557" spans="1:6">
      <c r="A557" s="3481">
        <v>553</v>
      </c>
      <c r="B557" s="3481" t="s">
        <v>3569</v>
      </c>
      <c r="C557" s="3481" t="s">
        <v>3569</v>
      </c>
      <c r="D557" s="3480" t="s">
        <v>3717</v>
      </c>
      <c r="E557" s="3482" t="s">
        <v>3529</v>
      </c>
      <c r="F557" s="3483">
        <v>30.07</v>
      </c>
    </row>
    <row r="558" spans="1:6">
      <c r="A558" s="3481">
        <v>554</v>
      </c>
      <c r="B558" s="3481" t="s">
        <v>3569</v>
      </c>
      <c r="C558" s="3481" t="s">
        <v>3569</v>
      </c>
      <c r="D558" s="3480" t="s">
        <v>3718</v>
      </c>
      <c r="E558" s="3482" t="s">
        <v>3529</v>
      </c>
      <c r="F558" s="3483">
        <v>30.07</v>
      </c>
    </row>
    <row r="559" spans="1:6">
      <c r="A559" s="3481">
        <v>555</v>
      </c>
      <c r="B559" s="3481" t="s">
        <v>3569</v>
      </c>
      <c r="C559" s="3481" t="s">
        <v>3569</v>
      </c>
      <c r="D559" s="3480" t="s">
        <v>3719</v>
      </c>
      <c r="E559" s="3482" t="s">
        <v>3529</v>
      </c>
      <c r="F559" s="3483">
        <v>30.07</v>
      </c>
    </row>
    <row r="560" spans="1:6">
      <c r="A560" s="3481">
        <v>556</v>
      </c>
      <c r="B560" s="3481" t="s">
        <v>3569</v>
      </c>
      <c r="C560" s="3481" t="s">
        <v>3569</v>
      </c>
      <c r="D560" s="3480" t="s">
        <v>3720</v>
      </c>
      <c r="E560" s="3482" t="s">
        <v>3529</v>
      </c>
      <c r="F560" s="3483">
        <v>30.07</v>
      </c>
    </row>
    <row r="561" spans="1:6">
      <c r="A561" s="3481">
        <v>557</v>
      </c>
      <c r="B561" s="3481" t="s">
        <v>3569</v>
      </c>
      <c r="C561" s="3481" t="s">
        <v>3569</v>
      </c>
      <c r="D561" s="3480" t="s">
        <v>3721</v>
      </c>
      <c r="E561" s="3482" t="s">
        <v>3529</v>
      </c>
      <c r="F561" s="3483">
        <v>30.07</v>
      </c>
    </row>
    <row r="562" spans="1:6">
      <c r="A562" s="3481">
        <v>558</v>
      </c>
      <c r="B562" s="3481" t="s">
        <v>3569</v>
      </c>
      <c r="C562" s="3481" t="s">
        <v>3569</v>
      </c>
      <c r="D562" s="3480" t="s">
        <v>3722</v>
      </c>
      <c r="E562" s="3482" t="s">
        <v>3529</v>
      </c>
      <c r="F562" s="3483">
        <v>28.93</v>
      </c>
    </row>
    <row r="563" spans="1:6">
      <c r="A563" s="3481">
        <v>559</v>
      </c>
      <c r="B563" s="3481" t="s">
        <v>3569</v>
      </c>
      <c r="C563" s="3481" t="s">
        <v>3569</v>
      </c>
      <c r="D563" s="3480" t="s">
        <v>3723</v>
      </c>
      <c r="E563" s="3482" t="s">
        <v>3529</v>
      </c>
      <c r="F563" s="3483">
        <v>28.93</v>
      </c>
    </row>
    <row r="564" spans="1:6">
      <c r="A564" s="3481">
        <v>560</v>
      </c>
      <c r="B564" s="3481" t="s">
        <v>3569</v>
      </c>
      <c r="C564" s="3481" t="s">
        <v>3569</v>
      </c>
      <c r="D564" s="3480" t="s">
        <v>3724</v>
      </c>
      <c r="E564" s="3482" t="s">
        <v>3529</v>
      </c>
      <c r="F564" s="3483">
        <v>28.93</v>
      </c>
    </row>
    <row r="565" spans="1:6">
      <c r="A565" s="3481">
        <v>561</v>
      </c>
      <c r="B565" s="3481" t="s">
        <v>3569</v>
      </c>
      <c r="C565" s="3481" t="s">
        <v>3569</v>
      </c>
      <c r="D565" s="3480" t="s">
        <v>3725</v>
      </c>
      <c r="E565" s="3482" t="s">
        <v>3529</v>
      </c>
      <c r="F565" s="3483">
        <v>28.93</v>
      </c>
    </row>
    <row r="566" spans="1:6">
      <c r="A566" s="3481">
        <v>562</v>
      </c>
      <c r="B566" s="3481" t="s">
        <v>3569</v>
      </c>
      <c r="C566" s="3481" t="s">
        <v>3569</v>
      </c>
      <c r="D566" s="3480" t="s">
        <v>3726</v>
      </c>
      <c r="E566" s="3482" t="s">
        <v>3529</v>
      </c>
      <c r="F566" s="3483">
        <v>30.07</v>
      </c>
    </row>
    <row r="567" spans="1:6">
      <c r="A567" s="3481">
        <v>563</v>
      </c>
      <c r="B567" s="3481" t="s">
        <v>3569</v>
      </c>
      <c r="C567" s="3481" t="s">
        <v>3569</v>
      </c>
      <c r="D567" s="3480" t="s">
        <v>3727</v>
      </c>
      <c r="E567" s="3482" t="s">
        <v>3529</v>
      </c>
      <c r="F567" s="3483">
        <v>30.07</v>
      </c>
    </row>
    <row r="568" spans="1:6">
      <c r="A568" s="3481">
        <v>564</v>
      </c>
      <c r="B568" s="3481" t="s">
        <v>3569</v>
      </c>
      <c r="C568" s="3481" t="s">
        <v>3569</v>
      </c>
      <c r="D568" s="3480" t="s">
        <v>3728</v>
      </c>
      <c r="E568" s="3482" t="s">
        <v>3529</v>
      </c>
      <c r="F568" s="3483">
        <v>28.93</v>
      </c>
    </row>
    <row r="569" spans="1:6">
      <c r="A569" s="3481">
        <v>565</v>
      </c>
      <c r="B569" s="3481" t="s">
        <v>3569</v>
      </c>
      <c r="C569" s="3481" t="s">
        <v>3569</v>
      </c>
      <c r="D569" s="3480" t="s">
        <v>3729</v>
      </c>
      <c r="E569" s="3482" t="s">
        <v>3529</v>
      </c>
      <c r="F569" s="3483">
        <v>28.93</v>
      </c>
    </row>
    <row r="570" spans="1:6">
      <c r="A570" s="3481">
        <v>566</v>
      </c>
      <c r="B570" s="3481" t="s">
        <v>3569</v>
      </c>
      <c r="C570" s="3481" t="s">
        <v>3569</v>
      </c>
      <c r="D570" s="3480" t="s">
        <v>3730</v>
      </c>
      <c r="E570" s="3482" t="s">
        <v>3529</v>
      </c>
      <c r="F570" s="3483">
        <v>30.07</v>
      </c>
    </row>
    <row r="571" spans="1:6">
      <c r="A571" s="3481">
        <v>567</v>
      </c>
      <c r="B571" s="3481" t="s">
        <v>3569</v>
      </c>
      <c r="C571" s="3481" t="s">
        <v>3569</v>
      </c>
      <c r="D571" s="3480" t="s">
        <v>3731</v>
      </c>
      <c r="E571" s="3482" t="s">
        <v>3529</v>
      </c>
      <c r="F571" s="3483">
        <v>30.07</v>
      </c>
    </row>
    <row r="572" spans="1:6">
      <c r="A572" s="3481">
        <v>568</v>
      </c>
      <c r="B572" s="3481" t="s">
        <v>3569</v>
      </c>
      <c r="C572" s="3481" t="s">
        <v>3569</v>
      </c>
      <c r="D572" s="3480" t="s">
        <v>3732</v>
      </c>
      <c r="E572" s="3482" t="s">
        <v>3529</v>
      </c>
      <c r="F572" s="3483">
        <v>30.07</v>
      </c>
    </row>
    <row r="573" spans="1:6">
      <c r="A573" s="3481">
        <v>569</v>
      </c>
      <c r="B573" s="3481" t="s">
        <v>3569</v>
      </c>
      <c r="C573" s="3481" t="s">
        <v>3569</v>
      </c>
      <c r="D573" s="3480" t="s">
        <v>3733</v>
      </c>
      <c r="E573" s="3482" t="s">
        <v>3529</v>
      </c>
      <c r="F573" s="3483">
        <v>30.07</v>
      </c>
    </row>
    <row r="574" spans="1:6">
      <c r="A574" s="3481">
        <v>570</v>
      </c>
      <c r="B574" s="3481" t="s">
        <v>3569</v>
      </c>
      <c r="C574" s="3481" t="s">
        <v>3569</v>
      </c>
      <c r="D574" s="3480" t="s">
        <v>3734</v>
      </c>
      <c r="E574" s="3482" t="s">
        <v>3529</v>
      </c>
      <c r="F574" s="3483">
        <v>30.07</v>
      </c>
    </row>
    <row r="575" spans="1:6">
      <c r="A575" s="3481">
        <v>571</v>
      </c>
      <c r="B575" s="3481" t="s">
        <v>3569</v>
      </c>
      <c r="C575" s="3481" t="s">
        <v>3569</v>
      </c>
      <c r="D575" s="3480" t="s">
        <v>3735</v>
      </c>
      <c r="E575" s="3482" t="s">
        <v>3529</v>
      </c>
      <c r="F575" s="3483">
        <v>30.07</v>
      </c>
    </row>
    <row r="576" spans="1:6">
      <c r="A576" s="3481">
        <v>572</v>
      </c>
      <c r="B576" s="3481" t="s">
        <v>3569</v>
      </c>
      <c r="C576" s="3481" t="s">
        <v>3569</v>
      </c>
      <c r="D576" s="3480" t="s">
        <v>3736</v>
      </c>
      <c r="E576" s="3482" t="s">
        <v>3529</v>
      </c>
      <c r="F576" s="3483">
        <v>30.07</v>
      </c>
    </row>
    <row r="577" spans="1:6">
      <c r="A577" s="3481">
        <v>573</v>
      </c>
      <c r="B577" s="3481" t="s">
        <v>3569</v>
      </c>
      <c r="C577" s="3481" t="s">
        <v>3569</v>
      </c>
      <c r="D577" s="3480" t="s">
        <v>3737</v>
      </c>
      <c r="E577" s="3482" t="s">
        <v>3529</v>
      </c>
      <c r="F577" s="3483">
        <v>30.07</v>
      </c>
    </row>
    <row r="578" spans="1:6">
      <c r="A578" s="3481">
        <v>574</v>
      </c>
      <c r="B578" s="3481" t="s">
        <v>3569</v>
      </c>
      <c r="C578" s="3481" t="s">
        <v>3569</v>
      </c>
      <c r="D578" s="3480" t="s">
        <v>3738</v>
      </c>
      <c r="E578" s="3482" t="s">
        <v>3529</v>
      </c>
      <c r="F578" s="3483">
        <v>30.07</v>
      </c>
    </row>
    <row r="579" spans="1:6">
      <c r="A579" s="3481">
        <v>575</v>
      </c>
      <c r="B579" s="3481" t="s">
        <v>3569</v>
      </c>
      <c r="C579" s="3481" t="s">
        <v>3569</v>
      </c>
      <c r="D579" s="3480" t="s">
        <v>3739</v>
      </c>
      <c r="E579" s="3482" t="s">
        <v>3529</v>
      </c>
      <c r="F579" s="3483">
        <v>30.07</v>
      </c>
    </row>
    <row r="580" spans="1:6">
      <c r="A580" s="3481">
        <v>576</v>
      </c>
      <c r="B580" s="3481" t="s">
        <v>3569</v>
      </c>
      <c r="C580" s="3481" t="s">
        <v>3569</v>
      </c>
      <c r="D580" s="3480" t="s">
        <v>3740</v>
      </c>
      <c r="E580" s="3482" t="s">
        <v>3529</v>
      </c>
      <c r="F580" s="3483">
        <v>30.07</v>
      </c>
    </row>
    <row r="581" spans="1:6">
      <c r="A581" s="3481">
        <v>577</v>
      </c>
      <c r="B581" s="3481" t="s">
        <v>3569</v>
      </c>
      <c r="C581" s="3481" t="s">
        <v>3569</v>
      </c>
      <c r="D581" s="3480" t="s">
        <v>3741</v>
      </c>
      <c r="E581" s="3482" t="s">
        <v>3529</v>
      </c>
      <c r="F581" s="3483">
        <v>30.07</v>
      </c>
    </row>
    <row r="582" spans="1:6">
      <c r="A582" s="3481">
        <v>578</v>
      </c>
      <c r="B582" s="3481" t="s">
        <v>3569</v>
      </c>
      <c r="C582" s="3481" t="s">
        <v>3569</v>
      </c>
      <c r="D582" s="3480" t="s">
        <v>3742</v>
      </c>
      <c r="E582" s="3482" t="s">
        <v>3642</v>
      </c>
      <c r="F582" s="3483">
        <v>30.07</v>
      </c>
    </row>
    <row r="583" spans="1:6">
      <c r="A583" s="3481">
        <v>579</v>
      </c>
      <c r="B583" s="3481" t="s">
        <v>3569</v>
      </c>
      <c r="C583" s="3481" t="s">
        <v>3569</v>
      </c>
      <c r="D583" s="3480" t="s">
        <v>3743</v>
      </c>
      <c r="E583" s="3482" t="s">
        <v>3642</v>
      </c>
      <c r="F583" s="3483">
        <v>30.07</v>
      </c>
    </row>
    <row r="584" spans="1:6">
      <c r="A584" s="3481">
        <v>580</v>
      </c>
      <c r="B584" s="3481" t="s">
        <v>3569</v>
      </c>
      <c r="C584" s="3481" t="s">
        <v>3569</v>
      </c>
      <c r="D584" s="3480" t="s">
        <v>3744</v>
      </c>
      <c r="E584" s="3482" t="s">
        <v>3642</v>
      </c>
      <c r="F584" s="3483">
        <v>30.07</v>
      </c>
    </row>
    <row r="585" spans="1:6">
      <c r="A585" s="3481">
        <v>581</v>
      </c>
      <c r="B585" s="3481" t="s">
        <v>3569</v>
      </c>
      <c r="C585" s="3481" t="s">
        <v>3569</v>
      </c>
      <c r="D585" s="3480" t="s">
        <v>3745</v>
      </c>
      <c r="E585" s="3482" t="s">
        <v>3642</v>
      </c>
      <c r="F585" s="3483">
        <v>30.07</v>
      </c>
    </row>
    <row r="586" spans="1:6">
      <c r="A586" s="3481">
        <v>582</v>
      </c>
      <c r="B586" s="3481" t="s">
        <v>3569</v>
      </c>
      <c r="C586" s="3481" t="s">
        <v>3569</v>
      </c>
      <c r="D586" s="3480" t="s">
        <v>3746</v>
      </c>
      <c r="E586" s="3482" t="s">
        <v>3642</v>
      </c>
      <c r="F586" s="3483">
        <v>30.07</v>
      </c>
    </row>
    <row r="587" spans="1:6">
      <c r="A587" s="3481">
        <v>583</v>
      </c>
      <c r="B587" s="3481" t="s">
        <v>3569</v>
      </c>
      <c r="C587" s="3481" t="s">
        <v>3569</v>
      </c>
      <c r="D587" s="3480" t="s">
        <v>3747</v>
      </c>
      <c r="E587" s="3482" t="s">
        <v>3642</v>
      </c>
      <c r="F587" s="3483">
        <v>30.07</v>
      </c>
    </row>
    <row r="588" spans="1:6">
      <c r="A588" s="3481">
        <v>584</v>
      </c>
      <c r="B588" s="3481" t="s">
        <v>3569</v>
      </c>
      <c r="C588" s="3481" t="s">
        <v>3569</v>
      </c>
      <c r="D588" s="3480" t="s">
        <v>3748</v>
      </c>
      <c r="E588" s="3482" t="s">
        <v>3642</v>
      </c>
      <c r="F588" s="3483">
        <v>30.07</v>
      </c>
    </row>
    <row r="589" spans="1:6">
      <c r="A589" s="3481">
        <v>585</v>
      </c>
      <c r="B589" s="3481" t="s">
        <v>3569</v>
      </c>
      <c r="C589" s="3481" t="s">
        <v>3569</v>
      </c>
      <c r="D589" s="3480" t="s">
        <v>3749</v>
      </c>
      <c r="E589" s="3482" t="s">
        <v>3642</v>
      </c>
      <c r="F589" s="3483">
        <v>30.07</v>
      </c>
    </row>
    <row r="590" spans="1:6">
      <c r="A590" s="3481">
        <v>586</v>
      </c>
      <c r="B590" s="3481" t="s">
        <v>3569</v>
      </c>
      <c r="C590" s="3481" t="s">
        <v>3569</v>
      </c>
      <c r="D590" s="3480" t="s">
        <v>3750</v>
      </c>
      <c r="E590" s="3482" t="s">
        <v>3642</v>
      </c>
      <c r="F590" s="3483">
        <v>30.07</v>
      </c>
    </row>
    <row r="591" spans="1:6">
      <c r="A591" s="3481">
        <v>587</v>
      </c>
      <c r="B591" s="3481" t="s">
        <v>3569</v>
      </c>
      <c r="C591" s="3481" t="s">
        <v>3569</v>
      </c>
      <c r="D591" s="3480" t="s">
        <v>3751</v>
      </c>
      <c r="E591" s="3482" t="s">
        <v>3642</v>
      </c>
      <c r="F591" s="3483">
        <v>30.07</v>
      </c>
    </row>
    <row r="592" spans="1:6">
      <c r="A592" s="3481">
        <v>588</v>
      </c>
      <c r="B592" s="3481" t="s">
        <v>3569</v>
      </c>
      <c r="C592" s="3481" t="s">
        <v>3569</v>
      </c>
      <c r="D592" s="3480" t="s">
        <v>3752</v>
      </c>
      <c r="E592" s="3482" t="s">
        <v>3642</v>
      </c>
      <c r="F592" s="3483">
        <v>30.07</v>
      </c>
    </row>
    <row r="593" spans="1:6">
      <c r="A593" s="3481">
        <v>589</v>
      </c>
      <c r="B593" s="3481" t="s">
        <v>3569</v>
      </c>
      <c r="C593" s="3481" t="s">
        <v>3569</v>
      </c>
      <c r="D593" s="3480" t="s">
        <v>3753</v>
      </c>
      <c r="E593" s="3482" t="s">
        <v>3642</v>
      </c>
      <c r="F593" s="3483">
        <v>30.07</v>
      </c>
    </row>
    <row r="594" spans="1:6">
      <c r="A594" s="3481">
        <v>590</v>
      </c>
      <c r="B594" s="3481" t="s">
        <v>3569</v>
      </c>
      <c r="C594" s="3481" t="s">
        <v>3569</v>
      </c>
      <c r="D594" s="3480" t="s">
        <v>3754</v>
      </c>
      <c r="E594" s="3482" t="s">
        <v>3642</v>
      </c>
      <c r="F594" s="3483">
        <v>30.07</v>
      </c>
    </row>
    <row r="595" spans="1:6">
      <c r="A595" s="3481">
        <v>591</v>
      </c>
      <c r="B595" s="3481" t="s">
        <v>3569</v>
      </c>
      <c r="C595" s="3481" t="s">
        <v>3569</v>
      </c>
      <c r="D595" s="3480" t="s">
        <v>3755</v>
      </c>
      <c r="E595" s="3482" t="s">
        <v>3642</v>
      </c>
      <c r="F595" s="3483">
        <v>30.07</v>
      </c>
    </row>
    <row r="596" spans="1:6">
      <c r="A596" s="3481">
        <v>592</v>
      </c>
      <c r="B596" s="3481" t="s">
        <v>3569</v>
      </c>
      <c r="C596" s="3481" t="s">
        <v>3569</v>
      </c>
      <c r="D596" s="3480" t="s">
        <v>3756</v>
      </c>
      <c r="E596" s="3482" t="s">
        <v>3642</v>
      </c>
      <c r="F596" s="3483">
        <v>30.07</v>
      </c>
    </row>
    <row r="597" spans="1:6">
      <c r="A597" s="3481">
        <v>593</v>
      </c>
      <c r="B597" s="3481" t="s">
        <v>3569</v>
      </c>
      <c r="C597" s="3481" t="s">
        <v>3569</v>
      </c>
      <c r="D597" s="3480" t="s">
        <v>3757</v>
      </c>
      <c r="E597" s="3482" t="s">
        <v>3642</v>
      </c>
      <c r="F597" s="3483">
        <v>30.07</v>
      </c>
    </row>
    <row r="598" spans="1:6">
      <c r="A598" s="3481">
        <v>594</v>
      </c>
      <c r="B598" s="3481" t="s">
        <v>3569</v>
      </c>
      <c r="C598" s="3481" t="s">
        <v>3569</v>
      </c>
      <c r="D598" s="3480" t="s">
        <v>3758</v>
      </c>
      <c r="E598" s="3482" t="s">
        <v>3642</v>
      </c>
      <c r="F598" s="3483">
        <v>30.07</v>
      </c>
    </row>
    <row r="599" spans="1:6">
      <c r="A599" s="3481">
        <v>595</v>
      </c>
      <c r="B599" s="3481" t="s">
        <v>3569</v>
      </c>
      <c r="C599" s="3481" t="s">
        <v>3569</v>
      </c>
      <c r="D599" s="3480" t="s">
        <v>3759</v>
      </c>
      <c r="E599" s="3482" t="s">
        <v>3642</v>
      </c>
      <c r="F599" s="3483">
        <v>28.93</v>
      </c>
    </row>
    <row r="600" spans="1:6">
      <c r="A600" s="3481">
        <v>596</v>
      </c>
      <c r="B600" s="3481" t="s">
        <v>3569</v>
      </c>
      <c r="C600" s="3481" t="s">
        <v>3569</v>
      </c>
      <c r="D600" s="3480" t="s">
        <v>3760</v>
      </c>
      <c r="E600" s="3482" t="s">
        <v>3642</v>
      </c>
      <c r="F600" s="3483">
        <v>28.93</v>
      </c>
    </row>
    <row r="601" spans="1:6">
      <c r="A601" s="3481">
        <v>597</v>
      </c>
      <c r="B601" s="3481" t="s">
        <v>3569</v>
      </c>
      <c r="C601" s="3481" t="s">
        <v>3569</v>
      </c>
      <c r="D601" s="3480" t="s">
        <v>3761</v>
      </c>
      <c r="E601" s="3482" t="s">
        <v>3642</v>
      </c>
      <c r="F601" s="3483">
        <v>28.93</v>
      </c>
    </row>
    <row r="602" spans="1:6">
      <c r="A602" s="3481">
        <v>598</v>
      </c>
      <c r="B602" s="3481" t="s">
        <v>3569</v>
      </c>
      <c r="C602" s="3481" t="s">
        <v>3569</v>
      </c>
      <c r="D602" s="3480" t="s">
        <v>3762</v>
      </c>
      <c r="E602" s="3482" t="s">
        <v>3642</v>
      </c>
      <c r="F602" s="3483">
        <v>28.93</v>
      </c>
    </row>
    <row r="603" spans="1:6">
      <c r="A603" s="3481">
        <v>599</v>
      </c>
      <c r="B603" s="3481" t="s">
        <v>3569</v>
      </c>
      <c r="C603" s="3481" t="s">
        <v>3569</v>
      </c>
      <c r="D603" s="3480" t="s">
        <v>3763</v>
      </c>
      <c r="E603" s="3482" t="s">
        <v>3642</v>
      </c>
      <c r="F603" s="3483">
        <v>28.93</v>
      </c>
    </row>
    <row r="604" spans="1:6">
      <c r="A604" s="3481">
        <v>600</v>
      </c>
      <c r="B604" s="3481" t="s">
        <v>3569</v>
      </c>
      <c r="C604" s="3481" t="s">
        <v>3569</v>
      </c>
      <c r="D604" s="3480" t="s">
        <v>3764</v>
      </c>
      <c r="E604" s="3482" t="s">
        <v>3642</v>
      </c>
      <c r="F604" s="3483">
        <v>30.07</v>
      </c>
    </row>
    <row r="605" spans="1:6">
      <c r="A605" s="3481">
        <v>601</v>
      </c>
      <c r="B605" s="3481" t="s">
        <v>3569</v>
      </c>
      <c r="C605" s="3481" t="s">
        <v>3569</v>
      </c>
      <c r="D605" s="3480" t="s">
        <v>3765</v>
      </c>
      <c r="E605" s="3482" t="s">
        <v>3642</v>
      </c>
      <c r="F605" s="3483">
        <v>30.07</v>
      </c>
    </row>
    <row r="606" spans="1:6">
      <c r="A606" s="3481">
        <v>602</v>
      </c>
      <c r="B606" s="3481" t="s">
        <v>3569</v>
      </c>
      <c r="C606" s="3481" t="s">
        <v>3569</v>
      </c>
      <c r="D606" s="3480" t="s">
        <v>3766</v>
      </c>
      <c r="E606" s="3482" t="s">
        <v>3642</v>
      </c>
      <c r="F606" s="3483">
        <v>30.07</v>
      </c>
    </row>
    <row r="607" spans="1:6">
      <c r="A607" s="3481">
        <v>603</v>
      </c>
      <c r="B607" s="3481" t="s">
        <v>3569</v>
      </c>
      <c r="C607" s="3481" t="s">
        <v>3569</v>
      </c>
      <c r="D607" s="3480" t="s">
        <v>3767</v>
      </c>
      <c r="E607" s="3482" t="s">
        <v>3642</v>
      </c>
      <c r="F607" s="3483">
        <v>30.07</v>
      </c>
    </row>
    <row r="608" spans="1:6">
      <c r="A608" s="3481">
        <v>604</v>
      </c>
      <c r="B608" s="3481" t="s">
        <v>3569</v>
      </c>
      <c r="C608" s="3481" t="s">
        <v>3569</v>
      </c>
      <c r="D608" s="3480" t="s">
        <v>3768</v>
      </c>
      <c r="E608" s="3482" t="s">
        <v>3642</v>
      </c>
      <c r="F608" s="3483">
        <v>30.07</v>
      </c>
    </row>
    <row r="609" spans="1:6">
      <c r="A609" s="3481">
        <v>605</v>
      </c>
      <c r="B609" s="3481" t="s">
        <v>3569</v>
      </c>
      <c r="C609" s="3481" t="s">
        <v>3569</v>
      </c>
      <c r="D609" s="3480" t="s">
        <v>3769</v>
      </c>
      <c r="E609" s="3482" t="s">
        <v>3642</v>
      </c>
      <c r="F609" s="3483">
        <v>28.93</v>
      </c>
    </row>
    <row r="610" spans="1:6">
      <c r="A610" s="3481">
        <v>606</v>
      </c>
      <c r="B610" s="3481" t="s">
        <v>3569</v>
      </c>
      <c r="C610" s="3481" t="s">
        <v>3569</v>
      </c>
      <c r="D610" s="3480" t="s">
        <v>3770</v>
      </c>
      <c r="E610" s="3482" t="s">
        <v>3642</v>
      </c>
      <c r="F610" s="3483">
        <v>28.93</v>
      </c>
    </row>
    <row r="611" spans="1:6">
      <c r="A611" s="3481">
        <v>607</v>
      </c>
      <c r="B611" s="3481" t="s">
        <v>3569</v>
      </c>
      <c r="C611" s="3481" t="s">
        <v>3569</v>
      </c>
      <c r="D611" s="3480" t="s">
        <v>3771</v>
      </c>
      <c r="E611" s="3482" t="s">
        <v>3642</v>
      </c>
      <c r="F611" s="3483">
        <v>28.93</v>
      </c>
    </row>
    <row r="612" spans="1:6">
      <c r="A612" s="3481">
        <v>608</v>
      </c>
      <c r="B612" s="3481" t="s">
        <v>3569</v>
      </c>
      <c r="C612" s="3481" t="s">
        <v>3569</v>
      </c>
      <c r="D612" s="3480" t="s">
        <v>3772</v>
      </c>
      <c r="E612" s="3482" t="s">
        <v>3642</v>
      </c>
      <c r="F612" s="3483">
        <v>28.93</v>
      </c>
    </row>
    <row r="613" spans="1:6">
      <c r="A613" s="3481">
        <v>609</v>
      </c>
      <c r="B613" s="3481" t="s">
        <v>3569</v>
      </c>
      <c r="C613" s="3481" t="s">
        <v>3569</v>
      </c>
      <c r="D613" s="3480" t="s">
        <v>3773</v>
      </c>
      <c r="E613" s="3482" t="s">
        <v>3642</v>
      </c>
      <c r="F613" s="3483">
        <v>28.93</v>
      </c>
    </row>
    <row r="614" spans="1:6">
      <c r="A614" s="3481">
        <v>610</v>
      </c>
      <c r="B614" s="3481" t="s">
        <v>3569</v>
      </c>
      <c r="C614" s="3481" t="s">
        <v>3569</v>
      </c>
      <c r="D614" s="3480" t="s">
        <v>3774</v>
      </c>
      <c r="E614" s="3482" t="s">
        <v>3637</v>
      </c>
      <c r="F614" s="3483">
        <v>57.87</v>
      </c>
    </row>
    <row r="615" spans="1:6">
      <c r="A615" s="3481">
        <v>611</v>
      </c>
      <c r="B615" s="3481" t="s">
        <v>3569</v>
      </c>
      <c r="C615" s="3481" t="s">
        <v>3569</v>
      </c>
      <c r="D615" s="3480" t="s">
        <v>3775</v>
      </c>
      <c r="E615" s="3482" t="s">
        <v>3642</v>
      </c>
      <c r="F615" s="3483">
        <v>28.93</v>
      </c>
    </row>
    <row r="616" spans="1:6">
      <c r="A616" s="3481">
        <v>612</v>
      </c>
      <c r="B616" s="3481" t="s">
        <v>3569</v>
      </c>
      <c r="C616" s="3481" t="s">
        <v>3569</v>
      </c>
      <c r="D616" s="3480" t="s">
        <v>3776</v>
      </c>
      <c r="E616" s="3482" t="s">
        <v>3642</v>
      </c>
      <c r="F616" s="3483">
        <v>30.07</v>
      </c>
    </row>
    <row r="617" spans="1:6">
      <c r="A617" s="3481">
        <v>613</v>
      </c>
      <c r="B617" s="3481" t="s">
        <v>3569</v>
      </c>
      <c r="C617" s="3481" t="s">
        <v>3569</v>
      </c>
      <c r="D617" s="3480" t="s">
        <v>3777</v>
      </c>
      <c r="E617" s="3482" t="s">
        <v>3642</v>
      </c>
      <c r="F617" s="3483">
        <v>30.07</v>
      </c>
    </row>
    <row r="618" spans="1:6">
      <c r="A618" s="3481">
        <v>614</v>
      </c>
      <c r="B618" s="3481" t="s">
        <v>3569</v>
      </c>
      <c r="C618" s="3481" t="s">
        <v>3569</v>
      </c>
      <c r="D618" s="3480" t="s">
        <v>3778</v>
      </c>
      <c r="E618" s="3482" t="s">
        <v>3642</v>
      </c>
      <c r="F618" s="3483">
        <v>30.07</v>
      </c>
    </row>
    <row r="619" spans="1:6">
      <c r="A619" s="3481">
        <v>615</v>
      </c>
      <c r="B619" s="3481" t="s">
        <v>3569</v>
      </c>
      <c r="C619" s="3481" t="s">
        <v>3569</v>
      </c>
      <c r="D619" s="3480" t="s">
        <v>3779</v>
      </c>
      <c r="E619" s="3482" t="s">
        <v>3642</v>
      </c>
      <c r="F619" s="3483">
        <v>30.07</v>
      </c>
    </row>
    <row r="620" spans="1:6">
      <c r="A620" s="3481">
        <v>616</v>
      </c>
      <c r="B620" s="3481" t="s">
        <v>3569</v>
      </c>
      <c r="C620" s="3481" t="s">
        <v>3569</v>
      </c>
      <c r="D620" s="3480" t="s">
        <v>3780</v>
      </c>
      <c r="E620" s="3482" t="s">
        <v>3642</v>
      </c>
      <c r="F620" s="3483">
        <v>30.07</v>
      </c>
    </row>
    <row r="621" spans="1:6">
      <c r="A621" s="3481">
        <v>617</v>
      </c>
      <c r="B621" s="3481" t="s">
        <v>3569</v>
      </c>
      <c r="C621" s="3481" t="s">
        <v>3569</v>
      </c>
      <c r="D621" s="3480" t="s">
        <v>3781</v>
      </c>
      <c r="E621" s="3482" t="s">
        <v>3529</v>
      </c>
      <c r="F621" s="3483">
        <v>30.07</v>
      </c>
    </row>
    <row r="622" spans="1:6">
      <c r="A622" s="3481">
        <v>618</v>
      </c>
      <c r="B622" s="3481" t="s">
        <v>3569</v>
      </c>
      <c r="C622" s="3481" t="s">
        <v>3569</v>
      </c>
      <c r="D622" s="3480" t="s">
        <v>3782</v>
      </c>
      <c r="E622" s="3482" t="s">
        <v>3529</v>
      </c>
      <c r="F622" s="3483">
        <v>30.07</v>
      </c>
    </row>
    <row r="623" spans="1:6">
      <c r="A623" s="3481">
        <v>619</v>
      </c>
      <c r="B623" s="3481" t="s">
        <v>3569</v>
      </c>
      <c r="C623" s="3481" t="s">
        <v>3569</v>
      </c>
      <c r="D623" s="3480" t="s">
        <v>3783</v>
      </c>
      <c r="E623" s="3482" t="s">
        <v>3529</v>
      </c>
      <c r="F623" s="3483">
        <v>30.07</v>
      </c>
    </row>
    <row r="624" spans="1:6">
      <c r="A624" s="3481">
        <v>620</v>
      </c>
      <c r="B624" s="3481" t="s">
        <v>3569</v>
      </c>
      <c r="C624" s="3481" t="s">
        <v>3569</v>
      </c>
      <c r="D624" s="3480" t="s">
        <v>3784</v>
      </c>
      <c r="E624" s="3482" t="s">
        <v>3529</v>
      </c>
      <c r="F624" s="3483">
        <v>30.07</v>
      </c>
    </row>
    <row r="625" spans="1:6">
      <c r="A625" s="3481">
        <v>621</v>
      </c>
      <c r="B625" s="3481" t="s">
        <v>3569</v>
      </c>
      <c r="C625" s="3481" t="s">
        <v>3569</v>
      </c>
      <c r="D625" s="3480" t="s">
        <v>3785</v>
      </c>
      <c r="E625" s="3482" t="s">
        <v>3529</v>
      </c>
      <c r="F625" s="3483">
        <v>30.07</v>
      </c>
    </row>
    <row r="626" spans="1:6">
      <c r="A626" s="3481">
        <v>622</v>
      </c>
      <c r="B626" s="3481" t="s">
        <v>3569</v>
      </c>
      <c r="C626" s="3481" t="s">
        <v>3569</v>
      </c>
      <c r="D626" s="3480" t="s">
        <v>3786</v>
      </c>
      <c r="E626" s="3482" t="s">
        <v>3529</v>
      </c>
      <c r="F626" s="3483">
        <v>30.07</v>
      </c>
    </row>
    <row r="627" spans="1:6">
      <c r="A627" s="3481">
        <v>623</v>
      </c>
      <c r="B627" s="3481" t="s">
        <v>3569</v>
      </c>
      <c r="C627" s="3481" t="s">
        <v>3569</v>
      </c>
      <c r="D627" s="3480" t="s">
        <v>3787</v>
      </c>
      <c r="E627" s="3482" t="s">
        <v>3529</v>
      </c>
      <c r="F627" s="3483">
        <v>30.07</v>
      </c>
    </row>
    <row r="628" spans="1:6">
      <c r="A628" s="3481">
        <v>624</v>
      </c>
      <c r="B628" s="3481" t="s">
        <v>3569</v>
      </c>
      <c r="C628" s="3481" t="s">
        <v>3569</v>
      </c>
      <c r="D628" s="3480" t="s">
        <v>3788</v>
      </c>
      <c r="E628" s="3482" t="s">
        <v>3529</v>
      </c>
      <c r="F628" s="3483">
        <v>30.07</v>
      </c>
    </row>
    <row r="629" spans="1:6">
      <c r="A629" s="3481">
        <v>625</v>
      </c>
      <c r="B629" s="3481" t="s">
        <v>3569</v>
      </c>
      <c r="C629" s="3481" t="s">
        <v>3569</v>
      </c>
      <c r="D629" s="3480" t="s">
        <v>3789</v>
      </c>
      <c r="E629" s="3482" t="s">
        <v>3529</v>
      </c>
      <c r="F629" s="3483">
        <v>30.07</v>
      </c>
    </row>
    <row r="630" spans="1:6">
      <c r="A630" s="3481">
        <v>626</v>
      </c>
      <c r="B630" s="3481" t="s">
        <v>3569</v>
      </c>
      <c r="C630" s="3481" t="s">
        <v>3569</v>
      </c>
      <c r="D630" s="3480" t="s">
        <v>3790</v>
      </c>
      <c r="E630" s="3482" t="s">
        <v>3529</v>
      </c>
      <c r="F630" s="3483">
        <v>30.07</v>
      </c>
    </row>
    <row r="631" spans="1:6">
      <c r="A631" s="3481">
        <v>627</v>
      </c>
      <c r="B631" s="3481" t="s">
        <v>3569</v>
      </c>
      <c r="C631" s="3481" t="s">
        <v>3569</v>
      </c>
      <c r="D631" s="3480" t="s">
        <v>3791</v>
      </c>
      <c r="E631" s="3482" t="s">
        <v>3529</v>
      </c>
      <c r="F631" s="3483">
        <v>30.07</v>
      </c>
    </row>
    <row r="632" spans="1:6">
      <c r="A632" s="3481">
        <v>628</v>
      </c>
      <c r="B632" s="3481" t="s">
        <v>3569</v>
      </c>
      <c r="C632" s="3481" t="s">
        <v>3569</v>
      </c>
      <c r="D632" s="3480" t="s">
        <v>3792</v>
      </c>
      <c r="E632" s="3482" t="s">
        <v>3529</v>
      </c>
      <c r="F632" s="3483">
        <v>28.93</v>
      </c>
    </row>
    <row r="633" spans="1:6">
      <c r="A633" s="3481">
        <v>629</v>
      </c>
      <c r="B633" s="3481" t="s">
        <v>3569</v>
      </c>
      <c r="C633" s="3481" t="s">
        <v>3569</v>
      </c>
      <c r="D633" s="3480" t="s">
        <v>3793</v>
      </c>
      <c r="E633" s="3482" t="s">
        <v>3529</v>
      </c>
      <c r="F633" s="3483">
        <v>28.93</v>
      </c>
    </row>
    <row r="634" spans="1:6">
      <c r="A634" s="3481">
        <v>630</v>
      </c>
      <c r="B634" s="3481" t="s">
        <v>3569</v>
      </c>
      <c r="C634" s="3481" t="s">
        <v>3569</v>
      </c>
      <c r="D634" s="3480" t="s">
        <v>3794</v>
      </c>
      <c r="E634" s="3482" t="s">
        <v>3529</v>
      </c>
      <c r="F634" s="3483">
        <v>28.93</v>
      </c>
    </row>
    <row r="635" spans="1:6">
      <c r="A635" s="3481">
        <v>631</v>
      </c>
      <c r="B635" s="3481" t="s">
        <v>3569</v>
      </c>
      <c r="C635" s="3481" t="s">
        <v>3569</v>
      </c>
      <c r="D635" s="3480" t="s">
        <v>3795</v>
      </c>
      <c r="E635" s="3482" t="s">
        <v>3529</v>
      </c>
      <c r="F635" s="3483">
        <v>28.93</v>
      </c>
    </row>
    <row r="636" spans="1:6">
      <c r="A636" s="3481">
        <v>632</v>
      </c>
      <c r="B636" s="3481" t="s">
        <v>3569</v>
      </c>
      <c r="C636" s="3481" t="s">
        <v>3569</v>
      </c>
      <c r="D636" s="3480" t="s">
        <v>3796</v>
      </c>
      <c r="E636" s="3482" t="s">
        <v>3605</v>
      </c>
      <c r="F636" s="3483">
        <v>57.87</v>
      </c>
    </row>
    <row r="637" spans="1:6">
      <c r="A637" s="3481">
        <v>633</v>
      </c>
      <c r="B637" s="3481" t="s">
        <v>3569</v>
      </c>
      <c r="C637" s="3481" t="s">
        <v>3569</v>
      </c>
      <c r="D637" s="3480" t="s">
        <v>3797</v>
      </c>
      <c r="E637" s="3482" t="s">
        <v>3605</v>
      </c>
      <c r="F637" s="3483">
        <v>57.87</v>
      </c>
    </row>
    <row r="638" spans="1:6">
      <c r="A638" s="3481">
        <v>634</v>
      </c>
      <c r="B638" s="3481" t="s">
        <v>3569</v>
      </c>
      <c r="C638" s="3481" t="s">
        <v>3569</v>
      </c>
      <c r="D638" s="3480" t="s">
        <v>3798</v>
      </c>
      <c r="E638" s="3482" t="s">
        <v>3605</v>
      </c>
      <c r="F638" s="3483">
        <v>57.87</v>
      </c>
    </row>
    <row r="639" spans="1:6">
      <c r="A639" s="3481">
        <v>635</v>
      </c>
      <c r="B639" s="3481" t="s">
        <v>3569</v>
      </c>
      <c r="C639" s="3481" t="s">
        <v>3569</v>
      </c>
      <c r="D639" s="3480" t="s">
        <v>3799</v>
      </c>
      <c r="E639" s="3482" t="s">
        <v>3529</v>
      </c>
      <c r="F639" s="3483">
        <v>28.93</v>
      </c>
    </row>
    <row r="640" spans="1:6">
      <c r="A640" s="3481">
        <v>636</v>
      </c>
      <c r="B640" s="3481" t="s">
        <v>3569</v>
      </c>
      <c r="C640" s="3481" t="s">
        <v>3569</v>
      </c>
      <c r="D640" s="3480" t="s">
        <v>3800</v>
      </c>
      <c r="E640" s="3482" t="s">
        <v>3529</v>
      </c>
      <c r="F640" s="3483">
        <v>28.93</v>
      </c>
    </row>
    <row r="641" spans="1:6">
      <c r="A641" s="3481">
        <v>637</v>
      </c>
      <c r="B641" s="3481" t="s">
        <v>3569</v>
      </c>
      <c r="C641" s="3481" t="s">
        <v>3569</v>
      </c>
      <c r="D641" s="3480" t="s">
        <v>3801</v>
      </c>
      <c r="E641" s="3482" t="s">
        <v>3529</v>
      </c>
      <c r="F641" s="3483">
        <v>28.93</v>
      </c>
    </row>
    <row r="642" spans="1:6">
      <c r="A642" s="3481">
        <v>638</v>
      </c>
      <c r="B642" s="3481" t="s">
        <v>3569</v>
      </c>
      <c r="C642" s="3481" t="s">
        <v>3569</v>
      </c>
      <c r="D642" s="3480" t="s">
        <v>3802</v>
      </c>
      <c r="E642" s="3482" t="s">
        <v>3529</v>
      </c>
      <c r="F642" s="3483">
        <v>28.93</v>
      </c>
    </row>
    <row r="643" spans="1:6">
      <c r="A643" s="3481">
        <v>639</v>
      </c>
      <c r="B643" s="3481" t="s">
        <v>3569</v>
      </c>
      <c r="C643" s="3481" t="s">
        <v>3569</v>
      </c>
      <c r="D643" s="3480" t="s">
        <v>3803</v>
      </c>
      <c r="E643" s="3482" t="s">
        <v>3529</v>
      </c>
      <c r="F643" s="3483">
        <v>30.07</v>
      </c>
    </row>
    <row r="644" spans="1:6">
      <c r="A644" s="3481">
        <v>640</v>
      </c>
      <c r="B644" s="3481" t="s">
        <v>3569</v>
      </c>
      <c r="C644" s="3481" t="s">
        <v>3569</v>
      </c>
      <c r="D644" s="3480" t="s">
        <v>3804</v>
      </c>
      <c r="E644" s="3482" t="s">
        <v>3529</v>
      </c>
      <c r="F644" s="3483">
        <v>30.07</v>
      </c>
    </row>
    <row r="645" spans="1:6">
      <c r="A645" s="3481">
        <v>641</v>
      </c>
      <c r="B645" s="3481" t="s">
        <v>3569</v>
      </c>
      <c r="C645" s="3481" t="s">
        <v>3569</v>
      </c>
      <c r="D645" s="3480" t="s">
        <v>3805</v>
      </c>
      <c r="E645" s="3482" t="s">
        <v>3529</v>
      </c>
      <c r="F645" s="3483">
        <v>30.07</v>
      </c>
    </row>
    <row r="646" spans="1:6">
      <c r="A646" s="3481">
        <v>642</v>
      </c>
      <c r="B646" s="3481" t="s">
        <v>3569</v>
      </c>
      <c r="C646" s="3481" t="s">
        <v>3569</v>
      </c>
      <c r="D646" s="3480" t="s">
        <v>3806</v>
      </c>
      <c r="E646" s="3482" t="s">
        <v>3529</v>
      </c>
      <c r="F646" s="3483">
        <v>30.07</v>
      </c>
    </row>
    <row r="647" spans="1:6">
      <c r="A647" s="3481">
        <v>643</v>
      </c>
      <c r="B647" s="3481" t="s">
        <v>3569</v>
      </c>
      <c r="C647" s="3481" t="s">
        <v>3569</v>
      </c>
      <c r="D647" s="3480" t="s">
        <v>3807</v>
      </c>
      <c r="E647" s="3482" t="s">
        <v>3529</v>
      </c>
      <c r="F647" s="3483">
        <v>30.07</v>
      </c>
    </row>
    <row r="648" spans="1:6">
      <c r="A648" s="3481">
        <v>644</v>
      </c>
      <c r="B648" s="3481" t="s">
        <v>3569</v>
      </c>
      <c r="C648" s="3481" t="s">
        <v>3569</v>
      </c>
      <c r="D648" s="3480" t="s">
        <v>3808</v>
      </c>
      <c r="E648" s="3482" t="s">
        <v>3529</v>
      </c>
      <c r="F648" s="3483">
        <v>30.07</v>
      </c>
    </row>
    <row r="649" spans="1:6">
      <c r="A649" s="3481">
        <v>645</v>
      </c>
      <c r="B649" s="3481" t="s">
        <v>3569</v>
      </c>
      <c r="C649" s="3481" t="s">
        <v>3569</v>
      </c>
      <c r="D649" s="3480" t="s">
        <v>3809</v>
      </c>
      <c r="E649" s="3482" t="s">
        <v>3529</v>
      </c>
      <c r="F649" s="3483">
        <v>30.07</v>
      </c>
    </row>
    <row r="650" spans="1:6">
      <c r="A650" s="3481">
        <v>646</v>
      </c>
      <c r="B650" s="3481" t="s">
        <v>3569</v>
      </c>
      <c r="C650" s="3481" t="s">
        <v>3569</v>
      </c>
      <c r="D650" s="3480" t="s">
        <v>3810</v>
      </c>
      <c r="E650" s="3482" t="s">
        <v>3529</v>
      </c>
      <c r="F650" s="3483">
        <v>30.07</v>
      </c>
    </row>
    <row r="651" spans="1:6">
      <c r="A651" s="3481">
        <v>647</v>
      </c>
      <c r="B651" s="3481" t="s">
        <v>3569</v>
      </c>
      <c r="C651" s="3481" t="s">
        <v>3569</v>
      </c>
      <c r="D651" s="3480" t="s">
        <v>3811</v>
      </c>
      <c r="E651" s="3482" t="s">
        <v>3642</v>
      </c>
      <c r="F651" s="3483">
        <v>30.07</v>
      </c>
    </row>
    <row r="652" spans="1:6">
      <c r="A652" s="3481">
        <v>648</v>
      </c>
      <c r="B652" s="3481" t="s">
        <v>3569</v>
      </c>
      <c r="C652" s="3481" t="s">
        <v>3569</v>
      </c>
      <c r="D652" s="3480" t="s">
        <v>3812</v>
      </c>
      <c r="E652" s="3482" t="s">
        <v>3637</v>
      </c>
      <c r="F652" s="3483">
        <v>59</v>
      </c>
    </row>
    <row r="653" spans="1:6">
      <c r="A653" s="3481">
        <v>649</v>
      </c>
      <c r="B653" s="3481" t="s">
        <v>3569</v>
      </c>
      <c r="C653" s="3481" t="s">
        <v>3569</v>
      </c>
      <c r="D653" s="3480" t="s">
        <v>3813</v>
      </c>
      <c r="E653" s="3482" t="s">
        <v>3637</v>
      </c>
      <c r="F653" s="3483">
        <v>59</v>
      </c>
    </row>
    <row r="654" spans="1:6">
      <c r="A654" s="3481">
        <v>650</v>
      </c>
      <c r="B654" s="3481" t="s">
        <v>3569</v>
      </c>
      <c r="C654" s="3481" t="s">
        <v>3569</v>
      </c>
      <c r="D654" s="3480" t="s">
        <v>3814</v>
      </c>
      <c r="E654" s="3482" t="s">
        <v>3815</v>
      </c>
      <c r="F654" s="3483">
        <v>26</v>
      </c>
    </row>
    <row r="655" spans="1:6">
      <c r="A655" s="3577" t="s">
        <v>3816</v>
      </c>
      <c r="B655" s="3573"/>
      <c r="C655" s="3573"/>
      <c r="D655" s="3573"/>
      <c r="E655" s="3573"/>
      <c r="F655" s="3483">
        <f>SUM(F378:F654)</f>
        <v>8764.4599999999809</v>
      </c>
    </row>
    <row r="656" spans="1:6">
      <c r="A656" s="3577" t="s">
        <v>3817</v>
      </c>
      <c r="B656" s="3573"/>
      <c r="C656" s="3573"/>
      <c r="D656" s="3573"/>
      <c r="E656" s="3573"/>
      <c r="F656" s="3485">
        <f>SUM(F655,F377,F164)</f>
        <v>29509.480000000025</v>
      </c>
    </row>
  </sheetData>
  <mergeCells count="5">
    <mergeCell ref="A1:F1"/>
    <mergeCell ref="A164:E164"/>
    <mergeCell ref="A377:E377"/>
    <mergeCell ref="A655:E655"/>
    <mergeCell ref="A656:E656"/>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zoomScaleNormal="100" workbookViewId="0">
      <selection activeCell="I36" sqref="I36"/>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75" style="2733"/>
    <col min="11" max="11" width="8.75" style="2733"/>
    <col min="12" max="12" width="8.375" style="2733"/>
    <col min="13" max="14" width="9.375" style="2733"/>
    <col min="15" max="15" width="8.75" style="2733"/>
    <col min="16" max="17" width="8" style="2733"/>
    <col min="18" max="18" width="9.625" style="2733"/>
    <col min="19" max="16384" width="8" style="2733"/>
  </cols>
  <sheetData>
    <row r="1" spans="1:14">
      <c r="A1" s="3458" t="s">
        <v>3338</v>
      </c>
      <c r="B1" s="3458" t="s">
        <v>3344</v>
      </c>
      <c r="C1" s="3468" t="s">
        <v>3340</v>
      </c>
      <c r="D1" s="3458" t="s">
        <v>3341</v>
      </c>
      <c r="E1" s="3468" t="s">
        <v>3342</v>
      </c>
      <c r="F1" s="3468" t="s">
        <v>3354</v>
      </c>
      <c r="G1" s="3458" t="s">
        <v>3351</v>
      </c>
      <c r="H1" s="3458" t="s">
        <v>3347</v>
      </c>
    </row>
    <row r="2" spans="1:14">
      <c r="A2" s="3458" t="s">
        <v>3343</v>
      </c>
      <c r="B2" s="3458">
        <f t="shared" ref="B2:B13" si="0">SUM(C2:H2)</f>
        <v>2611.04</v>
      </c>
      <c r="C2" s="3468">
        <v>961.46</v>
      </c>
      <c r="D2" s="3458">
        <v>126.25</v>
      </c>
      <c r="E2" s="3468">
        <v>1523.33</v>
      </c>
      <c r="F2" s="3468"/>
      <c r="G2" s="3458"/>
      <c r="H2" s="3458"/>
      <c r="N2" s="2734"/>
    </row>
    <row r="3" spans="1:14">
      <c r="A3" s="3459" t="s">
        <v>3339</v>
      </c>
      <c r="B3" s="3460">
        <f t="shared" si="0"/>
        <v>56</v>
      </c>
      <c r="C3" s="3469">
        <v>33</v>
      </c>
      <c r="D3" s="3460">
        <v>1</v>
      </c>
      <c r="E3" s="3469">
        <v>22</v>
      </c>
      <c r="F3" s="3469"/>
      <c r="G3" s="3460"/>
      <c r="H3" s="3458"/>
      <c r="N3" s="2734"/>
    </row>
    <row r="4" spans="1:14">
      <c r="A4" s="3458" t="s">
        <v>3345</v>
      </c>
      <c r="B4" s="3458">
        <f t="shared" si="0"/>
        <v>8013.1</v>
      </c>
      <c r="C4" s="3468">
        <v>1297.7</v>
      </c>
      <c r="D4" s="3458">
        <v>24.44</v>
      </c>
      <c r="E4" s="3468">
        <v>6690.96</v>
      </c>
      <c r="F4" s="3468"/>
      <c r="G4" s="3458"/>
      <c r="H4" s="3458"/>
      <c r="N4" s="2734"/>
    </row>
    <row r="5" spans="1:14">
      <c r="A5" s="3459" t="s">
        <v>3349</v>
      </c>
      <c r="B5" s="3460">
        <f t="shared" si="0"/>
        <v>124</v>
      </c>
      <c r="C5" s="3469">
        <v>67</v>
      </c>
      <c r="D5" s="3460">
        <v>1</v>
      </c>
      <c r="E5" s="3469">
        <v>56</v>
      </c>
      <c r="F5" s="3469"/>
      <c r="G5" s="3460"/>
      <c r="H5" s="3458"/>
      <c r="N5" s="2734"/>
    </row>
    <row r="6" spans="1:14">
      <c r="A6" s="3458" t="s">
        <v>3346</v>
      </c>
      <c r="B6" s="3458">
        <f t="shared" si="0"/>
        <v>3210.2</v>
      </c>
      <c r="C6" s="3468">
        <v>834.61</v>
      </c>
      <c r="D6" s="3458"/>
      <c r="E6" s="3468">
        <v>1933.64</v>
      </c>
      <c r="F6" s="3468"/>
      <c r="G6" s="3458"/>
      <c r="H6" s="3458">
        <v>441.95</v>
      </c>
      <c r="N6" s="2734"/>
    </row>
    <row r="7" spans="1:14">
      <c r="A7" s="3459" t="s">
        <v>3350</v>
      </c>
      <c r="B7" s="3460">
        <f t="shared" si="0"/>
        <v>57</v>
      </c>
      <c r="C7" s="3469">
        <v>28</v>
      </c>
      <c r="D7" s="3460"/>
      <c r="E7" s="3469">
        <v>28</v>
      </c>
      <c r="F7" s="3469"/>
      <c r="G7" s="3460"/>
      <c r="H7" s="3460">
        <v>1</v>
      </c>
      <c r="N7" s="2734"/>
    </row>
    <row r="8" spans="1:14">
      <c r="A8" s="3458" t="s">
        <v>3348</v>
      </c>
      <c r="B8" s="3458">
        <f t="shared" si="0"/>
        <v>10730.32</v>
      </c>
      <c r="C8" s="3468">
        <v>932.58</v>
      </c>
      <c r="D8" s="3458"/>
      <c r="E8" s="3468">
        <v>9736.7800000000007</v>
      </c>
      <c r="F8" s="3468"/>
      <c r="G8" s="3458">
        <f>22.24+38.72</f>
        <v>60.959999999999994</v>
      </c>
      <c r="H8" s="3458"/>
      <c r="N8" s="2734"/>
    </row>
    <row r="9" spans="1:14">
      <c r="A9" s="3459" t="s">
        <v>3350</v>
      </c>
      <c r="B9" s="3460">
        <f t="shared" si="0"/>
        <v>154</v>
      </c>
      <c r="C9" s="3469">
        <v>44</v>
      </c>
      <c r="D9" s="3460"/>
      <c r="E9" s="3469">
        <v>108</v>
      </c>
      <c r="F9" s="3469"/>
      <c r="G9" s="3460">
        <v>2</v>
      </c>
      <c r="H9" s="3458"/>
      <c r="N9" s="2734"/>
    </row>
    <row r="10" spans="1:14">
      <c r="A10" s="3458" t="s">
        <v>3352</v>
      </c>
      <c r="B10" s="3458">
        <f t="shared" si="0"/>
        <v>11267.33</v>
      </c>
      <c r="C10" s="3468">
        <v>904.93</v>
      </c>
      <c r="D10" s="3458"/>
      <c r="E10" s="3468">
        <v>9745.76</v>
      </c>
      <c r="F10" s="3468"/>
      <c r="G10" s="3458"/>
      <c r="H10" s="3458">
        <v>616.64</v>
      </c>
      <c r="N10" s="2734"/>
    </row>
    <row r="11" spans="1:14">
      <c r="A11" s="3459" t="s">
        <v>3350</v>
      </c>
      <c r="B11" s="3460">
        <f t="shared" si="0"/>
        <v>149</v>
      </c>
      <c r="C11" s="3469">
        <v>40</v>
      </c>
      <c r="D11" s="3460"/>
      <c r="E11" s="3469">
        <v>108</v>
      </c>
      <c r="F11" s="3469"/>
      <c r="G11" s="3460"/>
      <c r="H11" s="3460">
        <v>1</v>
      </c>
      <c r="N11" s="2734"/>
    </row>
    <row r="12" spans="1:14" ht="13.5" customHeight="1">
      <c r="A12" s="3461" t="s">
        <v>3353</v>
      </c>
      <c r="B12" s="3458">
        <f t="shared" si="0"/>
        <v>9144.869999999999</v>
      </c>
      <c r="C12" s="3470"/>
      <c r="D12" s="3462"/>
      <c r="E12" s="3468"/>
      <c r="F12" s="3468">
        <v>8764.4599999999991</v>
      </c>
      <c r="G12" s="3458">
        <f>180.27+200.14</f>
        <v>380.40999999999997</v>
      </c>
      <c r="H12" s="3460"/>
      <c r="N12" s="2734"/>
    </row>
    <row r="13" spans="1:14">
      <c r="A13" s="3459" t="s">
        <v>3350</v>
      </c>
      <c r="B13" s="3460">
        <f t="shared" si="0"/>
        <v>279</v>
      </c>
      <c r="C13" s="3469"/>
      <c r="D13" s="3460"/>
      <c r="E13" s="3469"/>
      <c r="F13" s="3469">
        <v>277</v>
      </c>
      <c r="G13" s="3460">
        <v>2</v>
      </c>
      <c r="H13" s="3460"/>
      <c r="N13" s="2734"/>
    </row>
    <row r="14" spans="1:14" s="3464" customFormat="1" ht="15">
      <c r="A14" s="3463" t="s">
        <v>3344</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3350</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3818</v>
      </c>
      <c r="B18" s="2733">
        <f>土地案例!I8</f>
        <v>12060.05</v>
      </c>
    </row>
    <row r="19" spans="1:14">
      <c r="A19" s="2733" t="s">
        <v>3819</v>
      </c>
      <c r="B19" s="3486">
        <f>未售清单!F656</f>
        <v>29509.480000000025</v>
      </c>
    </row>
    <row r="20" spans="1:14">
      <c r="A20" s="2733" t="s">
        <v>3820</v>
      </c>
      <c r="B20" s="2733">
        <f>ROUND(B19/B14*B18,2)</f>
        <v>7912.64</v>
      </c>
    </row>
    <row r="22" spans="1:14">
      <c r="C22" s="2737"/>
      <c r="D22" s="2737"/>
      <c r="E22" s="2737"/>
      <c r="F22" s="2737"/>
      <c r="G22" s="2737"/>
      <c r="L22" s="2737"/>
    </row>
    <row r="23" spans="1:14">
      <c r="J23" s="2735"/>
    </row>
    <row r="24" spans="1:14">
      <c r="A24" s="3489"/>
      <c r="B24" s="3489"/>
      <c r="C24" s="3489"/>
      <c r="D24" s="3489"/>
      <c r="E24" s="3489"/>
      <c r="F24" s="3489"/>
      <c r="G24" s="3489"/>
      <c r="H24" s="3489"/>
      <c r="I24" s="3489"/>
      <c r="J24" s="3489"/>
    </row>
    <row r="25" spans="1:14">
      <c r="A25" s="3489"/>
      <c r="B25" s="3490" t="s">
        <v>3829</v>
      </c>
      <c r="C25" s="3489"/>
      <c r="D25" s="3489"/>
      <c r="E25" s="3489"/>
      <c r="F25" s="3489"/>
      <c r="G25" s="3489"/>
      <c r="H25" s="3489"/>
      <c r="I25" s="3489"/>
      <c r="J25" s="3489"/>
    </row>
    <row r="26" spans="1:14">
      <c r="A26" s="3489"/>
      <c r="B26" s="3491"/>
      <c r="C26" s="3492" t="s">
        <v>3830</v>
      </c>
      <c r="D26" s="3492" t="s">
        <v>3831</v>
      </c>
      <c r="E26" s="3492" t="s">
        <v>3832</v>
      </c>
      <c r="F26" s="3491"/>
      <c r="G26" s="3493" t="s">
        <v>3833</v>
      </c>
      <c r="H26" s="3489"/>
      <c r="I26" s="3489"/>
      <c r="J26" s="3489"/>
    </row>
    <row r="27" spans="1:14">
      <c r="A27" s="3489"/>
      <c r="B27" s="3494" t="s">
        <v>3834</v>
      </c>
      <c r="C27" s="3495">
        <f>C28+C29</f>
        <v>29509.480000000025</v>
      </c>
      <c r="D27" s="3495">
        <f>E27/C27</f>
        <v>2660.2830683563352</v>
      </c>
      <c r="E27" s="3495">
        <f>E28+E29</f>
        <v>78503569.99999997</v>
      </c>
      <c r="F27" s="3491"/>
      <c r="G27" s="3496">
        <v>1</v>
      </c>
      <c r="H27" s="3489"/>
      <c r="I27" s="3489"/>
      <c r="J27" s="3489"/>
    </row>
    <row r="28" spans="1:14">
      <c r="A28" s="3489"/>
      <c r="B28" s="3492" t="s">
        <v>3835</v>
      </c>
      <c r="C28" s="3497">
        <f>'数据-汇总表'!F27</f>
        <v>15813.740000000045</v>
      </c>
      <c r="D28" s="3491">
        <v>1500</v>
      </c>
      <c r="E28" s="3491">
        <f>D28*C28</f>
        <v>23720610.000000067</v>
      </c>
      <c r="F28" s="3491"/>
      <c r="G28" s="3491"/>
      <c r="H28" s="3489"/>
      <c r="I28" s="3489"/>
      <c r="J28" s="3489"/>
    </row>
    <row r="29" spans="1:14">
      <c r="A29" s="3489"/>
      <c r="B29" s="3492" t="s">
        <v>3836</v>
      </c>
      <c r="C29" s="3498">
        <f>'数据-汇总表'!G27</f>
        <v>13695.739999999978</v>
      </c>
      <c r="D29" s="3491">
        <v>4000</v>
      </c>
      <c r="E29" s="3491">
        <f t="shared" ref="E29:E32" si="3">D29*C29</f>
        <v>54782959.999999911</v>
      </c>
      <c r="F29" s="3491"/>
      <c r="G29" s="3491"/>
      <c r="H29" s="3489" t="s">
        <v>3837</v>
      </c>
      <c r="I29" s="3489"/>
      <c r="J29" s="3489"/>
    </row>
    <row r="30" spans="1:14">
      <c r="A30" s="3489"/>
      <c r="B30" s="3494" t="s">
        <v>3838</v>
      </c>
      <c r="C30" s="3495">
        <f>C27</f>
        <v>29509.480000000025</v>
      </c>
      <c r="D30" s="3495">
        <v>1000</v>
      </c>
      <c r="E30" s="3495">
        <f>D30*C30</f>
        <v>29509480.000000026</v>
      </c>
      <c r="F30" s="3491"/>
      <c r="G30" s="3496">
        <v>1</v>
      </c>
      <c r="H30" s="3489" t="s">
        <v>3839</v>
      </c>
      <c r="I30" s="3489"/>
      <c r="J30" s="3489"/>
    </row>
    <row r="31" spans="1:14">
      <c r="A31" s="3489"/>
      <c r="B31" s="3494" t="s">
        <v>3840</v>
      </c>
      <c r="C31" s="3495">
        <f>C27</f>
        <v>29509.480000000025</v>
      </c>
      <c r="D31" s="3495">
        <v>1500</v>
      </c>
      <c r="E31" s="3495">
        <f>D31*C31</f>
        <v>44264220.000000037</v>
      </c>
      <c r="F31" s="3491"/>
      <c r="G31" s="3496">
        <v>1</v>
      </c>
      <c r="H31" s="3489"/>
      <c r="I31" s="3489"/>
      <c r="J31" s="3489"/>
    </row>
    <row r="32" spans="1:14">
      <c r="A32" s="3489"/>
      <c r="B32" s="3494" t="s">
        <v>3841</v>
      </c>
      <c r="C32" s="3495">
        <v>0</v>
      </c>
      <c r="D32" s="3495">
        <f>D29</f>
        <v>4000</v>
      </c>
      <c r="E32" s="3495">
        <f t="shared" si="3"/>
        <v>0</v>
      </c>
      <c r="F32" s="3491"/>
      <c r="G32" s="3491"/>
      <c r="H32" s="3489"/>
      <c r="I32" s="3489"/>
      <c r="J32" s="3489"/>
    </row>
    <row r="33" spans="1:10">
      <c r="A33" s="3489"/>
      <c r="B33" s="3492" t="s">
        <v>3842</v>
      </c>
      <c r="C33" s="3491">
        <f>C27</f>
        <v>29509.480000000025</v>
      </c>
      <c r="D33" s="3491">
        <f>E33/C33</f>
        <v>5160.2830683563352</v>
      </c>
      <c r="E33" s="3491">
        <f>E27+E30+E31+E32</f>
        <v>152277270.00000003</v>
      </c>
      <c r="F33" s="3491"/>
      <c r="G33" s="3494">
        <f>(G27*E27+G30*E30+G31*E31)/E33</f>
        <v>1</v>
      </c>
      <c r="H33" s="3489"/>
      <c r="I33" s="3489"/>
      <c r="J33" s="3489"/>
    </row>
    <row r="34" spans="1:10">
      <c r="A34" s="3489"/>
      <c r="B34" s="3489"/>
      <c r="C34" s="3489"/>
      <c r="D34" s="3489" t="e">
        <f>E33/(B16-G16-N16)</f>
        <v>#DIV/0!</v>
      </c>
      <c r="E34" s="3489"/>
      <c r="F34" s="3489"/>
      <c r="G34" s="3489"/>
      <c r="H34" s="3489"/>
      <c r="I34" s="3489"/>
      <c r="J34" s="3489"/>
    </row>
    <row r="35" spans="1:10">
      <c r="A35" s="3489"/>
      <c r="B35" s="3489"/>
      <c r="C35" s="3489"/>
      <c r="D35" s="3489"/>
      <c r="E35" s="3489"/>
      <c r="F35" s="3489"/>
      <c r="G35" s="3489"/>
      <c r="H35" s="3489"/>
      <c r="I35" s="3489"/>
      <c r="J35" s="3489"/>
    </row>
    <row r="36" spans="1:10">
      <c r="A36" s="3489"/>
      <c r="B36" s="3489"/>
      <c r="C36" s="3489"/>
      <c r="D36" s="3489"/>
      <c r="E36" s="3489"/>
      <c r="F36" s="3489"/>
      <c r="G36" s="3489"/>
      <c r="H36" s="3489"/>
      <c r="I36" s="3489"/>
      <c r="J36" s="3489"/>
    </row>
    <row r="37" spans="1:10">
      <c r="A37" s="3489"/>
      <c r="B37" s="3490" t="s">
        <v>3843</v>
      </c>
      <c r="C37" s="3489"/>
      <c r="D37" s="3489"/>
      <c r="E37" s="3489"/>
      <c r="F37" s="3489"/>
      <c r="G37" s="3489"/>
      <c r="H37" s="3489"/>
      <c r="I37" s="3489"/>
      <c r="J37" s="3489"/>
    </row>
    <row r="38" spans="1:10">
      <c r="A38" s="3489"/>
      <c r="B38" s="3491"/>
      <c r="C38" s="3492" t="s">
        <v>3844</v>
      </c>
      <c r="D38" s="3492"/>
      <c r="E38" s="3492" t="s">
        <v>3845</v>
      </c>
      <c r="F38" s="3492" t="s">
        <v>3846</v>
      </c>
      <c r="G38" s="3492" t="s">
        <v>3847</v>
      </c>
      <c r="H38" s="3493" t="s">
        <v>3848</v>
      </c>
      <c r="I38" s="3489"/>
      <c r="J38" s="3489"/>
    </row>
    <row r="39" spans="1:10">
      <c r="A39" s="3489"/>
      <c r="B39" s="3494" t="s">
        <v>3849</v>
      </c>
      <c r="C39" s="3495">
        <v>2022</v>
      </c>
      <c r="D39" s="3495">
        <v>2024</v>
      </c>
      <c r="E39" s="3495">
        <v>50</v>
      </c>
      <c r="F39" s="3491">
        <v>60</v>
      </c>
      <c r="G39" s="3491">
        <v>0</v>
      </c>
      <c r="H39" s="3499">
        <f>ROUND((1-G39)-(D39-C39)/F39,2)</f>
        <v>0.97</v>
      </c>
      <c r="I39" s="3489"/>
      <c r="J39" s="3489"/>
    </row>
    <row r="40" spans="1:10">
      <c r="A40" s="3489"/>
      <c r="B40" s="3492" t="s">
        <v>3850</v>
      </c>
      <c r="C40" s="3497"/>
      <c r="D40" s="3491"/>
      <c r="E40" s="3491"/>
      <c r="F40" s="3491"/>
      <c r="G40" s="3491"/>
      <c r="H40" s="3496">
        <v>0.85</v>
      </c>
      <c r="I40" s="3489"/>
      <c r="J40" s="3489"/>
    </row>
    <row r="41" spans="1:10">
      <c r="A41" s="3489"/>
      <c r="B41" s="3492"/>
      <c r="C41" s="3491"/>
      <c r="D41" s="3491"/>
      <c r="E41" s="3491"/>
      <c r="F41" s="3491"/>
      <c r="G41" s="3491"/>
      <c r="H41" s="3500">
        <f>ROUND((H40+H39)/2,2)</f>
        <v>0.91</v>
      </c>
      <c r="I41" s="3489"/>
      <c r="J41" s="3489"/>
    </row>
    <row r="42" spans="1:10">
      <c r="A42" s="3489"/>
      <c r="B42" s="3489"/>
      <c r="C42" s="3489"/>
      <c r="D42" s="3489"/>
      <c r="E42" s="3489"/>
      <c r="F42" s="3489"/>
      <c r="G42" s="3489"/>
      <c r="H42" s="3489"/>
      <c r="I42" s="3489"/>
      <c r="J42" s="3489"/>
    </row>
    <row r="43" spans="1:10">
      <c r="A43" s="3489"/>
      <c r="B43" s="3489"/>
      <c r="C43" s="3489"/>
      <c r="D43" s="3489"/>
      <c r="E43" s="3489"/>
      <c r="F43" s="3489"/>
      <c r="G43" s="3489"/>
      <c r="H43" s="3489"/>
      <c r="I43" s="3489"/>
      <c r="J43" s="3489"/>
    </row>
  </sheetData>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5" sqref="E5:P24"/>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587" t="s">
        <v>560</v>
      </c>
      <c r="B2" s="3587"/>
      <c r="C2" s="3587"/>
      <c r="D2" s="2262" t="s">
        <v>561</v>
      </c>
      <c r="E2" s="2941" t="s">
        <v>562</v>
      </c>
      <c r="F2" s="2942"/>
      <c r="G2" s="2943"/>
      <c r="H2" s="2944"/>
      <c r="I2" s="2592" t="s">
        <v>563</v>
      </c>
      <c r="J2" s="2942"/>
      <c r="K2" s="2942"/>
      <c r="L2" s="2942"/>
      <c r="M2" s="2942"/>
      <c r="N2" s="1283"/>
      <c r="O2" s="2942"/>
      <c r="P2" s="2942"/>
    </row>
    <row r="3" spans="1:16" ht="15">
      <c r="A3" s="3588" t="s">
        <v>564</v>
      </c>
      <c r="B3" s="3588"/>
      <c r="C3" s="3588"/>
      <c r="D3" s="2945">
        <f>'数据-基础表'!AY6</f>
        <v>7912.64</v>
      </c>
      <c r="E3" s="2945">
        <f>'数据-基础表'!AZ5</f>
        <v>29509.480000000025</v>
      </c>
      <c r="F3" s="2942"/>
      <c r="G3" s="2946"/>
      <c r="H3" s="2395" t="s">
        <v>565</v>
      </c>
      <c r="I3" s="3005">
        <f>ROUND('数据-基础表'!B3/'数据-基础表'!A3,2)</f>
        <v>3.73</v>
      </c>
      <c r="J3" s="2942"/>
      <c r="K3" s="2942"/>
      <c r="L3" s="2942"/>
      <c r="M3" s="2942"/>
      <c r="N3" s="1283"/>
      <c r="O3" s="2942"/>
      <c r="P3" s="2942"/>
    </row>
    <row r="4" spans="1:16" ht="15">
      <c r="A4" s="3589"/>
      <c r="B4" s="3590"/>
      <c r="C4" s="3591"/>
      <c r="D4" s="2947" t="s">
        <v>561</v>
      </c>
      <c r="E4" s="2948" t="s">
        <v>562</v>
      </c>
      <c r="F4" s="2942"/>
      <c r="G4" s="2949" t="s">
        <v>566</v>
      </c>
      <c r="H4" s="2395" t="s">
        <v>567</v>
      </c>
      <c r="I4" s="3005">
        <f>ROUND(SUMIF('数据-基础表'!I9:AS9,"地上",'数据-基础表'!I5:AS5)/'数据-基础表'!A3,2)</f>
        <v>2</v>
      </c>
      <c r="J4" s="2942"/>
      <c r="K4" s="2942"/>
      <c r="L4" s="2942"/>
      <c r="M4" s="2942"/>
      <c r="N4" s="1283"/>
      <c r="O4" s="2942"/>
      <c r="P4" s="2942"/>
    </row>
    <row r="5" spans="1:16">
      <c r="A5" s="2950" t="s">
        <v>568</v>
      </c>
      <c r="B5" s="3592" t="s">
        <v>569</v>
      </c>
      <c r="C5" s="3592"/>
      <c r="D5" s="2951">
        <f>ROUND($D$3*E5/$E$3,2)</f>
        <v>4240.28</v>
      </c>
      <c r="E5" s="2952">
        <f>SUMIF('数据-基础表'!$11:$11,"住宅",'数据-基础表'!$5:$5)</f>
        <v>15813.740000000045</v>
      </c>
      <c r="F5" s="2942"/>
      <c r="G5" s="2946"/>
      <c r="H5" s="2395" t="s">
        <v>565</v>
      </c>
      <c r="I5" s="3005">
        <f>ROUND(E31/D31,2)</f>
        <v>3.73</v>
      </c>
      <c r="J5" s="2942"/>
      <c r="K5" s="2942"/>
      <c r="L5" s="2942"/>
      <c r="M5" s="2942"/>
      <c r="N5" s="2942"/>
      <c r="O5" s="2942"/>
      <c r="P5" s="2942"/>
    </row>
    <row r="6" spans="1:16">
      <c r="A6" s="2953"/>
      <c r="B6" s="3592" t="s">
        <v>570</v>
      </c>
      <c r="C6" s="3592"/>
      <c r="D6" s="2951">
        <f>ROUND($D$3*E6/$E$3,2)</f>
        <v>3672.36</v>
      </c>
      <c r="E6" s="2952">
        <f>E3-E5</f>
        <v>13695.73999999998</v>
      </c>
      <c r="F6" s="2942"/>
      <c r="G6" s="2954" t="s">
        <v>571</v>
      </c>
      <c r="H6" s="2955" t="s">
        <v>567</v>
      </c>
      <c r="I6" s="3006">
        <f>ROUND(F31/D31,2)</f>
        <v>2</v>
      </c>
      <c r="J6" s="2942"/>
      <c r="K6" s="2942"/>
      <c r="L6" s="2942"/>
      <c r="M6" s="2942"/>
      <c r="N6" s="2942"/>
      <c r="O6" s="2942"/>
      <c r="P6" s="2942"/>
    </row>
    <row r="7" spans="1:16" ht="15">
      <c r="A7" s="3578"/>
      <c r="B7" s="3579"/>
      <c r="C7" s="3580"/>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4240.28</v>
      </c>
      <c r="E8" s="2960">
        <f>SUMIF('数据-基础表'!BB10:BK10,"地上",'数据-基础表'!BB5:BK5)</f>
        <v>15813.740000000045</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1322.27</v>
      </c>
      <c r="E12" s="2960">
        <f>SUMPRODUCT(('数据-基础表'!BB10:BK10="地下")*('数据-基础表'!BB11:BK11="仓储")*('数据-基础表'!BB5:BK5))</f>
        <v>4931.279999999997</v>
      </c>
      <c r="F12" s="2942"/>
      <c r="G12" s="2961"/>
      <c r="H12" s="2961"/>
      <c r="I12" s="2942"/>
      <c r="J12" s="2942"/>
      <c r="K12" s="2942"/>
      <c r="L12" s="2942"/>
      <c r="M12" s="2942"/>
      <c r="N12" s="2942"/>
      <c r="O12" s="2942"/>
      <c r="P12" s="2942"/>
    </row>
    <row r="13" spans="1:16">
      <c r="A13" s="2962"/>
      <c r="B13" s="2963"/>
      <c r="C13" s="2951" t="s">
        <v>581</v>
      </c>
      <c r="D13" s="2951">
        <f t="shared" si="0"/>
        <v>2350.09</v>
      </c>
      <c r="E13" s="2960">
        <f>SUMPRODUCT(('数据-基础表'!BB10:BK10="地下")*('数据-基础表'!BB11:BK11="车库")*('数据-基础表'!BB5:BK5))</f>
        <v>8764.4599999999809</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7912.6399999999994</v>
      </c>
      <c r="E16" s="2965">
        <f>SUM(E8:E15)</f>
        <v>29509.480000000021</v>
      </c>
      <c r="F16" s="2942"/>
      <c r="G16" s="2961"/>
      <c r="H16" s="2966" t="s">
        <v>585</v>
      </c>
      <c r="I16" s="3008"/>
      <c r="J16" s="2443"/>
      <c r="K16" s="3581" t="s">
        <v>585</v>
      </c>
      <c r="L16" s="3582"/>
      <c r="M16" s="3582"/>
      <c r="N16" s="3582"/>
      <c r="O16" s="3582"/>
      <c r="P16" s="3583"/>
    </row>
    <row r="17" spans="1:19" ht="15">
      <c r="A17" s="2904" t="s">
        <v>586</v>
      </c>
      <c r="B17" s="2967" t="s">
        <v>587</v>
      </c>
      <c r="C17" s="2903" t="s">
        <v>588</v>
      </c>
      <c r="D17" s="2968" t="s">
        <v>561</v>
      </c>
      <c r="E17" s="2969" t="s">
        <v>562</v>
      </c>
      <c r="F17" s="2970"/>
      <c r="G17" s="2971"/>
      <c r="H17" s="2972" t="s">
        <v>589</v>
      </c>
      <c r="I17" s="3009" t="s">
        <v>590</v>
      </c>
      <c r="J17" s="2443"/>
      <c r="K17" s="3584" t="s">
        <v>591</v>
      </c>
      <c r="L17" s="3585"/>
      <c r="M17" s="3586"/>
      <c r="N17" s="3584" t="s">
        <v>592</v>
      </c>
      <c r="O17" s="3585"/>
      <c r="P17" s="3586"/>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4240.28</v>
      </c>
      <c r="E19" s="2981">
        <f t="shared" ref="E19:E26" si="1">SUM(F19:G19)</f>
        <v>15813.740000000045</v>
      </c>
      <c r="F19" s="2982">
        <f>'数据-基础表'!I13</f>
        <v>15813.740000000045</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4240.28</v>
      </c>
      <c r="S19" s="3023">
        <f t="shared" si="5"/>
        <v>15813.740000000045</v>
      </c>
    </row>
    <row r="20" spans="1:19">
      <c r="A20" s="2984"/>
      <c r="B20" s="2959" t="s">
        <v>601</v>
      </c>
      <c r="C20" s="2980" t="s">
        <v>3824</v>
      </c>
      <c r="D20" s="2951">
        <f t="shared" ref="D20:D26" si="6">ROUND($D$3*E20/$E$3,2)</f>
        <v>2350.09</v>
      </c>
      <c r="E20" s="2981">
        <f t="shared" si="1"/>
        <v>8764.4599999999809</v>
      </c>
      <c r="F20" s="2982"/>
      <c r="G20" s="2983">
        <f>'数据-基础表'!K13</f>
        <v>8764.4599999999809</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2350.09</v>
      </c>
      <c r="S20" s="3023">
        <f t="shared" si="5"/>
        <v>8764.4599999999809</v>
      </c>
    </row>
    <row r="21" spans="1:19">
      <c r="A21" s="2984"/>
      <c r="B21" s="2959" t="s">
        <v>601</v>
      </c>
      <c r="C21" s="2980" t="s">
        <v>3825</v>
      </c>
      <c r="D21" s="2951">
        <f t="shared" si="6"/>
        <v>1322.27</v>
      </c>
      <c r="E21" s="2981">
        <f t="shared" si="1"/>
        <v>4931.279999999997</v>
      </c>
      <c r="F21" s="2982"/>
      <c r="G21" s="2983">
        <f>'数据-基础表'!M13</f>
        <v>4931.279999999997</v>
      </c>
      <c r="H21" s="2893">
        <f t="shared" si="7"/>
        <v>0</v>
      </c>
      <c r="I21" s="2960">
        <f t="shared" si="2"/>
        <v>0</v>
      </c>
      <c r="J21" s="2443"/>
      <c r="K21" s="3011">
        <f t="shared" si="3"/>
        <v>0</v>
      </c>
      <c r="L21" s="2395">
        <f t="shared" si="4"/>
        <v>0</v>
      </c>
      <c r="M21" s="3012">
        <f t="shared" si="8"/>
        <v>0</v>
      </c>
      <c r="N21" s="3013"/>
      <c r="O21" s="3014"/>
      <c r="P21" s="3012">
        <f t="shared" si="9"/>
        <v>0</v>
      </c>
      <c r="R21" s="2395">
        <f t="shared" si="5"/>
        <v>1322.27</v>
      </c>
      <c r="S21" s="3023">
        <f t="shared" si="5"/>
        <v>4931.279999999997</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7912.6399999999994</v>
      </c>
      <c r="E27" s="2990">
        <f>IF(SUM(E19:E26)='数据-基础表'!BA5,SUM(E19:E26),IF(F27="地上面积有误","面积有误","地下面积有误"))</f>
        <v>29509.480000000025</v>
      </c>
      <c r="F27" s="2989">
        <f>IF(SUM(F19:F26)=E8,SUM(F19:F26),"地上面积有误")</f>
        <v>15813.740000000045</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7912.6399999999994</v>
      </c>
      <c r="S27" s="2395">
        <f>IF(SUM(S19:S26)=$E$3,SUM(S19:S26),SUM(S19:S26)&amp;"误差"&amp;ROUND(SUM(S19:S26)-E3,2))</f>
        <v>29509.480000000025</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7912.6399999999994</v>
      </c>
      <c r="E31" s="2999">
        <f>E27+E30</f>
        <v>29509.480000000025</v>
      </c>
      <c r="F31" s="3000">
        <f>F27+F30</f>
        <v>15813.740000000045</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15813.740000000045</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pane="topRight"/>
      <selection pane="bottomLeft"/>
      <selection pane="bottomRight" activeCell="Q32" sqref="Q32"/>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15813.740000000045</v>
      </c>
      <c r="L6" s="3852">
        <v>6000</v>
      </c>
      <c r="M6" s="2861">
        <f t="shared" ref="M6:M14" si="0">ROUND(K6*L6/10000,0)</f>
        <v>9488</v>
      </c>
      <c r="N6" s="2862">
        <v>0.6</v>
      </c>
      <c r="O6" s="2861">
        <f>IF($N$5="成新度","——",ROUND(M6*N6,0))</f>
        <v>5693</v>
      </c>
      <c r="P6" s="2863">
        <f>IF($N$5="成新度","——",M6-O6)</f>
        <v>3795</v>
      </c>
      <c r="Q6" s="3856">
        <v>0.2</v>
      </c>
      <c r="R6" s="2883">
        <f ca="1">SUMIF('数据-汇总表'!C$19:C$33,A6,'数据-汇总表'!R$19:R$27)</f>
        <v>4240.28</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94882440.000000268</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857">
        <v>5.5E-2</v>
      </c>
      <c r="J7" s="2773">
        <v>7.0000000000000007E-2</v>
      </c>
      <c r="K7" s="2859">
        <f>SUMIF('数据-汇总表'!C$19:C$33,A7,'数据-汇总表'!E$19:E$33)</f>
        <v>8764.4599999999809</v>
      </c>
      <c r="L7" s="3852">
        <v>5000</v>
      </c>
      <c r="M7" s="2861">
        <f t="shared" si="0"/>
        <v>4382</v>
      </c>
      <c r="N7" s="2862">
        <f>N6</f>
        <v>0.6</v>
      </c>
      <c r="O7" s="2861">
        <f t="shared" ref="O7:O14" si="3">IF($N$5="成新度","——",ROUND(M7*N7,0))</f>
        <v>2629</v>
      </c>
      <c r="P7" s="2863">
        <f t="shared" ref="P7:P14" si="4">IF($N$5="成新度","——",M7-O7)</f>
        <v>1753</v>
      </c>
      <c r="Q7" s="2889">
        <v>0.05</v>
      </c>
      <c r="R7" s="2883">
        <f ca="1">SUMIF('数据-汇总表'!C$19:C$33,A7,'数据-汇总表'!R$19:R$27)</f>
        <v>2350.09</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857">
        <v>5.5E-2</v>
      </c>
      <c r="J8" s="2773">
        <f>J6</f>
        <v>7.0000000000000007E-2</v>
      </c>
      <c r="K8" s="2859">
        <f>SUMIF('数据-汇总表'!C$19:C$33,A8,'数据-汇总表'!E$19:E$33)</f>
        <v>4931.279999999997</v>
      </c>
      <c r="L8" s="3852">
        <f>L7</f>
        <v>5000</v>
      </c>
      <c r="M8" s="2861">
        <f t="shared" si="0"/>
        <v>2466</v>
      </c>
      <c r="N8" s="2862">
        <f>N6</f>
        <v>0.6</v>
      </c>
      <c r="O8" s="2861">
        <f t="shared" si="3"/>
        <v>1480</v>
      </c>
      <c r="P8" s="2863">
        <f t="shared" si="4"/>
        <v>986</v>
      </c>
      <c r="Q8" s="2889">
        <v>0.05</v>
      </c>
      <c r="R8" s="2883">
        <f ca="1">SUMIF('数据-汇总表'!C$19:C$33,A8,'数据-汇总表'!R$19:R$27)</f>
        <v>1322.27</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4179</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4179</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853">
        <f>L8</f>
        <v>5000</v>
      </c>
      <c r="M14" s="2861">
        <f t="shared" si="0"/>
        <v>0</v>
      </c>
      <c r="N14" s="2865">
        <f>N6</f>
        <v>0.6</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29509.480000000025</v>
      </c>
      <c r="L16" s="2870">
        <f>ROUND(M16*10000/SUM(K6:K14),0)</f>
        <v>5536</v>
      </c>
      <c r="M16" s="2870">
        <f>SUM(M6:M14)</f>
        <v>16336</v>
      </c>
      <c r="N16" s="2871">
        <f>ROUND(SUMPRODUCT(M6:M14,N6:N14)/M16,3)</f>
        <v>0.6</v>
      </c>
      <c r="O16" s="2870">
        <f>SUM(O6:O14)</f>
        <v>9802</v>
      </c>
      <c r="P16" s="2870">
        <f>SUM(P6:P14)</f>
        <v>6534</v>
      </c>
      <c r="Q16" s="2896">
        <f>ROUND(SUMPRODUCT(Q6:Q13,K6:K13)/SUMPRODUCT((Q6:Q13&gt;0)*(K6:K13)),2)</f>
        <v>0.13</v>
      </c>
      <c r="R16" s="2897">
        <f ca="1">SUM(R6:R13)</f>
        <v>7912.6399999999994</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f>ROUND(B20*N16,1)</f>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854">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855">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170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v>30</v>
      </c>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0.02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0.02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5.5E-2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5.0000000000000001E-3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0.05</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596" t="s">
        <v>404</v>
      </c>
      <c r="D3" s="3596"/>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596" t="s">
        <v>733</v>
      </c>
      <c r="C4" s="3596" t="s">
        <v>734</v>
      </c>
      <c r="D4" s="3596"/>
      <c r="E4" s="2739"/>
      <c r="F4" s="2739"/>
      <c r="G4" s="2739"/>
      <c r="H4" s="2739"/>
      <c r="I4" s="2739">
        <v>67.73</v>
      </c>
      <c r="J4" s="2739"/>
      <c r="K4" s="2739"/>
      <c r="L4" s="2739"/>
      <c r="M4" s="2739"/>
      <c r="N4" s="2739"/>
      <c r="O4" s="2739"/>
      <c r="P4" s="2739"/>
      <c r="Q4" s="2739"/>
      <c r="R4" s="2739"/>
      <c r="S4" s="2739"/>
      <c r="T4" s="2739">
        <f>SUM(E4:S4)</f>
        <v>67.73</v>
      </c>
    </row>
    <row r="5" spans="2:20">
      <c r="B5" s="3596"/>
      <c r="C5" s="3596" t="s">
        <v>735</v>
      </c>
      <c r="D5" s="3596"/>
      <c r="E5" s="2739"/>
      <c r="F5" s="2739"/>
      <c r="G5" s="2739"/>
      <c r="H5" s="2739"/>
      <c r="I5" s="2739"/>
      <c r="J5" s="2739"/>
      <c r="K5" s="2739"/>
      <c r="L5" s="2739"/>
      <c r="M5" s="2739"/>
      <c r="N5" s="2739"/>
      <c r="O5" s="2739"/>
      <c r="P5" s="2739"/>
      <c r="Q5" s="2739"/>
      <c r="R5" s="2739"/>
      <c r="S5" s="2739">
        <v>89.85</v>
      </c>
      <c r="T5" s="2739">
        <f t="shared" ref="T5:T19" si="0">SUM(E5:S5)</f>
        <v>89.85</v>
      </c>
    </row>
    <row r="6" spans="2:20">
      <c r="B6" s="3596"/>
      <c r="C6" s="3596" t="s">
        <v>736</v>
      </c>
      <c r="D6" s="3596"/>
      <c r="E6" s="2739"/>
      <c r="F6" s="2739"/>
      <c r="G6" s="2739"/>
      <c r="H6" s="2739"/>
      <c r="I6" s="2739"/>
      <c r="J6" s="2739"/>
      <c r="K6" s="2739"/>
      <c r="L6" s="2739"/>
      <c r="M6" s="2739"/>
      <c r="N6" s="2739"/>
      <c r="O6" s="2739">
        <v>21.46</v>
      </c>
      <c r="P6" s="2739"/>
      <c r="Q6" s="2739"/>
      <c r="R6" s="2739"/>
      <c r="S6" s="2739"/>
      <c r="T6" s="2739">
        <f t="shared" si="0"/>
        <v>21.46</v>
      </c>
    </row>
    <row r="7" spans="2:20">
      <c r="B7" s="3596"/>
      <c r="C7" s="3596" t="s">
        <v>737</v>
      </c>
      <c r="D7" s="3596"/>
      <c r="E7" s="2739"/>
      <c r="F7" s="2739"/>
      <c r="G7" s="2739"/>
      <c r="H7" s="2739"/>
      <c r="I7" s="2739"/>
      <c r="J7" s="2739"/>
      <c r="K7" s="2739"/>
      <c r="L7" s="2739"/>
      <c r="M7" s="2739"/>
      <c r="N7" s="2739"/>
      <c r="O7" s="2739">
        <v>109.98</v>
      </c>
      <c r="P7" s="2739"/>
      <c r="Q7" s="2739"/>
      <c r="R7" s="2739"/>
      <c r="S7" s="2739"/>
      <c r="T7" s="2739">
        <f t="shared" si="0"/>
        <v>109.98</v>
      </c>
    </row>
    <row r="8" spans="2:20">
      <c r="B8" s="3596"/>
      <c r="C8" s="3596" t="s">
        <v>412</v>
      </c>
      <c r="D8" s="3596"/>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596"/>
      <c r="C9" s="3596"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596" t="s">
        <v>739</v>
      </c>
      <c r="C10" s="3596"/>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596"/>
      <c r="C11" s="3596" t="s">
        <v>740</v>
      </c>
      <c r="D11" s="3596"/>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596"/>
      <c r="C12" s="3596" t="s">
        <v>737</v>
      </c>
      <c r="D12" s="3596"/>
      <c r="E12" s="2739"/>
      <c r="F12" s="2739"/>
      <c r="G12" s="2739"/>
      <c r="H12" s="2739"/>
      <c r="I12" s="2739"/>
      <c r="J12" s="2739"/>
      <c r="K12" s="2739"/>
      <c r="L12" s="2739"/>
      <c r="M12" s="2739"/>
      <c r="N12" s="2739"/>
      <c r="O12" s="2739">
        <v>52.15</v>
      </c>
      <c r="P12" s="2739"/>
      <c r="Q12" s="2739"/>
      <c r="R12" s="2739"/>
      <c r="S12" s="2739"/>
      <c r="T12" s="2739">
        <f t="shared" si="0"/>
        <v>52.15</v>
      </c>
    </row>
    <row r="13" spans="2:20">
      <c r="B13" s="3596"/>
      <c r="C13" s="3596" t="s">
        <v>741</v>
      </c>
      <c r="D13" s="3596"/>
      <c r="E13" s="2739"/>
      <c r="F13" s="2739"/>
      <c r="G13" s="2739"/>
      <c r="H13" s="2739"/>
      <c r="I13" s="2739"/>
      <c r="J13" s="2739"/>
      <c r="K13" s="2739"/>
      <c r="L13" s="2739"/>
      <c r="M13" s="2739"/>
      <c r="N13" s="2739"/>
      <c r="O13" s="2739"/>
      <c r="P13" s="2739"/>
      <c r="Q13" s="2739"/>
      <c r="R13" s="2739"/>
      <c r="S13" s="2739">
        <v>20424.87</v>
      </c>
      <c r="T13" s="2739">
        <f t="shared" si="0"/>
        <v>20424.87</v>
      </c>
    </row>
    <row r="14" spans="2:20">
      <c r="B14" s="3596"/>
      <c r="C14" s="3596" t="s">
        <v>742</v>
      </c>
      <c r="D14" s="3596"/>
      <c r="E14" s="2739"/>
      <c r="F14" s="2739"/>
      <c r="G14" s="2739"/>
      <c r="H14" s="2739"/>
      <c r="I14" s="2739"/>
      <c r="J14" s="2739"/>
      <c r="K14" s="2739"/>
      <c r="L14" s="2739"/>
      <c r="M14" s="2739"/>
      <c r="N14" s="2739"/>
      <c r="O14" s="2739"/>
      <c r="P14" s="2739"/>
      <c r="Q14" s="2739"/>
      <c r="R14" s="2739"/>
      <c r="S14" s="2739">
        <v>17.62</v>
      </c>
      <c r="T14" s="2739">
        <f t="shared" si="0"/>
        <v>17.62</v>
      </c>
    </row>
    <row r="15" spans="2:20">
      <c r="B15" s="3596"/>
      <c r="C15" s="3596" t="s">
        <v>743</v>
      </c>
      <c r="D15" s="3596"/>
      <c r="E15" s="2739"/>
      <c r="F15" s="2739"/>
      <c r="G15" s="2739"/>
      <c r="H15" s="2739"/>
      <c r="I15" s="2739"/>
      <c r="J15" s="2739"/>
      <c r="K15" s="2739"/>
      <c r="L15" s="2739"/>
      <c r="M15" s="2739"/>
      <c r="N15" s="2739"/>
      <c r="O15" s="2739"/>
      <c r="P15" s="2739"/>
      <c r="Q15" s="2739"/>
      <c r="R15" s="2739"/>
      <c r="S15" s="2739">
        <v>388.75</v>
      </c>
      <c r="T15" s="2739">
        <f t="shared" si="0"/>
        <v>388.75</v>
      </c>
    </row>
    <row r="16" spans="2:20">
      <c r="B16" s="3596"/>
      <c r="C16" s="3596" t="s">
        <v>744</v>
      </c>
      <c r="D16" s="3596"/>
      <c r="E16" s="2739"/>
      <c r="F16" s="2739"/>
      <c r="G16" s="2739"/>
      <c r="H16" s="2739"/>
      <c r="I16" s="2739"/>
      <c r="J16" s="2739"/>
      <c r="K16" s="2739"/>
      <c r="L16" s="2739"/>
      <c r="M16" s="2739"/>
      <c r="N16" s="2739"/>
      <c r="O16" s="2739"/>
      <c r="P16" s="2739"/>
      <c r="Q16" s="2739"/>
      <c r="R16" s="2739"/>
      <c r="S16" s="2739">
        <v>248.19</v>
      </c>
      <c r="T16" s="2739">
        <f t="shared" si="0"/>
        <v>248.19</v>
      </c>
    </row>
    <row r="17" spans="2:21">
      <c r="B17" s="3596"/>
      <c r="C17" s="3596" t="s">
        <v>745</v>
      </c>
      <c r="D17" s="3596"/>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596"/>
      <c r="C18" s="3596" t="s">
        <v>746</v>
      </c>
      <c r="D18" s="3596"/>
      <c r="E18" s="2739"/>
      <c r="F18" s="2739"/>
      <c r="G18" s="2739"/>
      <c r="H18" s="2739"/>
      <c r="I18" s="2739"/>
      <c r="J18" s="2739"/>
      <c r="K18" s="2739"/>
      <c r="L18" s="2739"/>
      <c r="M18" s="2739"/>
      <c r="N18" s="2739"/>
      <c r="O18" s="2739"/>
      <c r="P18" s="2739"/>
      <c r="Q18" s="2739"/>
      <c r="R18" s="2739"/>
      <c r="S18" s="2739">
        <v>7.59</v>
      </c>
      <c r="T18" s="2739">
        <f t="shared" si="0"/>
        <v>7.59</v>
      </c>
    </row>
    <row r="19" spans="2:21">
      <c r="B19" s="3596"/>
      <c r="C19" s="3596" t="s">
        <v>747</v>
      </c>
      <c r="D19" s="3596"/>
      <c r="E19" s="2739"/>
      <c r="F19" s="2739"/>
      <c r="G19" s="2739"/>
      <c r="H19" s="2739"/>
      <c r="I19" s="2739"/>
      <c r="J19" s="2739"/>
      <c r="K19" s="2739"/>
      <c r="L19" s="2739"/>
      <c r="M19" s="2739"/>
      <c r="N19" s="2739"/>
      <c r="O19" s="2739"/>
      <c r="P19" s="2739"/>
      <c r="Q19" s="2739"/>
      <c r="R19" s="2739"/>
      <c r="S19" s="2739">
        <v>2371.02</v>
      </c>
      <c r="T19" s="2739">
        <f t="shared" si="0"/>
        <v>2371.02</v>
      </c>
    </row>
    <row r="20" spans="2:21">
      <c r="B20" s="3593" t="s">
        <v>350</v>
      </c>
      <c r="C20" s="3594"/>
      <c r="D20" s="3595"/>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C3:D3"/>
    <mergeCell ref="C4:D4"/>
    <mergeCell ref="C5:D5"/>
    <mergeCell ref="C6:D6"/>
    <mergeCell ref="C7:D7"/>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597" t="s">
        <v>749</v>
      </c>
      <c r="B1" s="3598"/>
      <c r="C1" s="3598"/>
      <c r="D1" s="3598"/>
      <c r="E1" s="3598"/>
      <c r="F1" s="3598"/>
      <c r="G1" s="3598"/>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40.5">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501" t="str">
        <f>项目基本情况!B1</f>
        <v>北京市出让国有建设用地使用权及在建建筑物房地产抵押价值预评估</v>
      </c>
      <c r="C37" s="3501"/>
      <c r="D37" s="3501"/>
      <c r="E37" s="3501"/>
      <c r="F37" s="3501"/>
      <c r="G37" s="3501"/>
      <c r="H37" s="3501"/>
      <c r="I37" s="3501"/>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29509.480000000025</v>
      </c>
      <c r="C1" s="2651"/>
      <c r="D1" s="2651"/>
      <c r="E1" s="2651"/>
      <c r="F1" s="2651"/>
      <c r="G1" s="2652"/>
      <c r="H1" s="2653"/>
      <c r="I1" s="2653"/>
      <c r="J1" s="2653"/>
      <c r="K1" s="2653"/>
    </row>
    <row r="2" spans="1:11" ht="16.5">
      <c r="A2" s="2650" t="s">
        <v>772</v>
      </c>
      <c r="B2" s="2650">
        <f>SUM(C14:C23)</f>
        <v>7912.64</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108555</v>
      </c>
      <c r="C5" s="2650">
        <f ca="1">IF(B5=D14,结果表!H102,ROUND(B5*10000/$B$1,0))</f>
        <v>36786</v>
      </c>
      <c r="D5" s="2650">
        <f ca="1">ROUND(B5*10000/$B$2,0)</f>
        <v>137192</v>
      </c>
      <c r="E5" s="2651"/>
      <c r="F5" s="2652"/>
      <c r="G5" s="2652"/>
      <c r="H5" s="2653"/>
      <c r="I5" s="2653"/>
      <c r="J5" s="2653"/>
      <c r="K5" s="2653"/>
    </row>
    <row r="6" spans="1:11" ht="16.5">
      <c r="A6" s="2650" t="s">
        <v>779</v>
      </c>
      <c r="B6" s="2650">
        <f ca="1">SUM(G14:G23)</f>
        <v>108555</v>
      </c>
      <c r="C6" s="2650">
        <f ca="1">IF(B6=G14,结果表!H108,ROUND(B6*10000/$B$1,0))</f>
        <v>36786</v>
      </c>
      <c r="D6" s="2650">
        <f ca="1">ROUND(B6*10000/$B$2,0)</f>
        <v>137192</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29509.480000000025</v>
      </c>
      <c r="C14" s="2662">
        <f>结果表!C118</f>
        <v>7912.64</v>
      </c>
      <c r="D14" s="2662">
        <f ca="1">结果表!H118</f>
        <v>108555</v>
      </c>
      <c r="E14" s="2662">
        <f ca="1">ROUND(D14*10000/B14,0)</f>
        <v>36786</v>
      </c>
      <c r="F14" s="2662">
        <f ca="1">ROUND(D14*10000/C14,0)</f>
        <v>137192</v>
      </c>
      <c r="G14" s="2662">
        <f ca="1">结果表!H107</f>
        <v>108555</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K26" sqref="K26"/>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3827</v>
      </c>
      <c r="H1" s="2374" t="str">
        <f>IF(G1="现房","——","估价对象范围")</f>
        <v>估价对象范围</v>
      </c>
      <c r="I1" s="2506" t="s">
        <v>3828</v>
      </c>
    </row>
    <row r="2" spans="1:12" ht="21.75" customHeight="1">
      <c r="A2" s="3673" t="str">
        <f>项目基本情况!S2</f>
        <v>北京市出让国有建设用地使用权及在建建筑物房地产</v>
      </c>
      <c r="B2" s="3674"/>
      <c r="C2" s="3674"/>
      <c r="D2" s="3674"/>
      <c r="E2" s="3674"/>
      <c r="F2" s="3674"/>
      <c r="G2" s="3674"/>
      <c r="H2" s="3674"/>
      <c r="I2" s="3675"/>
    </row>
    <row r="3" spans="1:12" ht="12.75">
      <c r="A3" s="3676" t="s">
        <v>803</v>
      </c>
      <c r="B3" s="3677"/>
      <c r="C3" s="3677"/>
      <c r="D3" s="3677"/>
      <c r="E3" s="3677"/>
      <c r="F3" s="3677"/>
      <c r="G3" s="3677"/>
      <c r="H3" s="3677"/>
      <c r="I3" s="3677"/>
    </row>
    <row r="4" spans="1:12" ht="14.25">
      <c r="A4" s="2375" t="s">
        <v>804</v>
      </c>
      <c r="B4" s="2376" t="s">
        <v>805</v>
      </c>
      <c r="C4" s="2377" t="s">
        <v>806</v>
      </c>
      <c r="D4" s="2377" t="s">
        <v>807</v>
      </c>
      <c r="E4" s="3678" t="s">
        <v>808</v>
      </c>
      <c r="F4" s="3679"/>
      <c r="G4" s="3679"/>
      <c r="H4" s="3679"/>
      <c r="I4" s="3680"/>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00" t="s">
        <v>809</v>
      </c>
      <c r="B5" s="3608">
        <v>25</v>
      </c>
      <c r="C5" s="3690"/>
      <c r="D5" s="3611"/>
      <c r="E5" s="1364" t="s">
        <v>810</v>
      </c>
      <c r="F5" s="2382"/>
      <c r="G5" s="2382"/>
      <c r="H5" s="2382"/>
      <c r="I5" s="1444"/>
    </row>
    <row r="6" spans="1:12" ht="12.75">
      <c r="A6" s="3600"/>
      <c r="B6" s="3608"/>
      <c r="C6" s="3691"/>
      <c r="D6" s="3611"/>
      <c r="E6" s="1364" t="s">
        <v>811</v>
      </c>
      <c r="F6" s="2382"/>
      <c r="G6" s="2382"/>
      <c r="H6" s="2382"/>
      <c r="I6" s="1444"/>
    </row>
    <row r="7" spans="1:12" ht="12.75">
      <c r="A7" s="3600"/>
      <c r="B7" s="3608"/>
      <c r="C7" s="3692"/>
      <c r="D7" s="3611"/>
      <c r="E7" s="1364" t="s">
        <v>812</v>
      </c>
      <c r="F7" s="2382"/>
      <c r="G7" s="2382"/>
      <c r="H7" s="2382"/>
      <c r="I7" s="1444"/>
    </row>
    <row r="8" spans="1:12" ht="12.75">
      <c r="A8" s="3600" t="s">
        <v>813</v>
      </c>
      <c r="B8" s="3608">
        <v>15</v>
      </c>
      <c r="C8" s="3690"/>
      <c r="D8" s="3611"/>
      <c r="E8" s="1364" t="s">
        <v>814</v>
      </c>
      <c r="F8" s="2382"/>
      <c r="G8" s="2382"/>
      <c r="H8" s="2382"/>
      <c r="I8" s="1444"/>
    </row>
    <row r="9" spans="1:12" ht="12.75">
      <c r="A9" s="3600"/>
      <c r="B9" s="3608"/>
      <c r="C9" s="3692"/>
      <c r="D9" s="3611"/>
      <c r="E9" s="1364" t="s">
        <v>815</v>
      </c>
      <c r="F9" s="2382"/>
      <c r="G9" s="2382"/>
      <c r="H9" s="2382"/>
      <c r="I9" s="1444"/>
    </row>
    <row r="10" spans="1:12" ht="12.75">
      <c r="A10" s="3600" t="s">
        <v>816</v>
      </c>
      <c r="B10" s="3608">
        <v>15</v>
      </c>
      <c r="C10" s="3690"/>
      <c r="D10" s="3611"/>
      <c r="E10" s="1364" t="s">
        <v>817</v>
      </c>
      <c r="F10" s="2382"/>
      <c r="G10" s="2382"/>
      <c r="H10" s="2382"/>
      <c r="I10" s="1444"/>
    </row>
    <row r="11" spans="1:12" ht="12.75">
      <c r="A11" s="3600"/>
      <c r="B11" s="3608"/>
      <c r="C11" s="3692"/>
      <c r="D11" s="3611"/>
      <c r="E11" s="1364" t="s">
        <v>818</v>
      </c>
      <c r="F11" s="2382"/>
      <c r="G11" s="2382"/>
      <c r="H11" s="2382"/>
      <c r="I11" s="1444"/>
    </row>
    <row r="12" spans="1:12" ht="12.75">
      <c r="A12" s="3600" t="s">
        <v>819</v>
      </c>
      <c r="B12" s="3608">
        <v>15</v>
      </c>
      <c r="C12" s="3690"/>
      <c r="D12" s="3611"/>
      <c r="E12" s="1364" t="s">
        <v>820</v>
      </c>
      <c r="F12" s="2382"/>
      <c r="G12" s="2382"/>
      <c r="H12" s="2382"/>
      <c r="I12" s="1444"/>
    </row>
    <row r="13" spans="1:12" ht="12.75">
      <c r="A13" s="3600"/>
      <c r="B13" s="3608"/>
      <c r="C13" s="3692"/>
      <c r="D13" s="3611"/>
      <c r="E13" s="1364" t="s">
        <v>821</v>
      </c>
      <c r="F13" s="2382"/>
      <c r="G13" s="2382"/>
      <c r="H13" s="2382"/>
      <c r="I13" s="1444"/>
    </row>
    <row r="14" spans="1:12" ht="12.75">
      <c r="A14" s="3600" t="s">
        <v>822</v>
      </c>
      <c r="B14" s="3608">
        <v>30</v>
      </c>
      <c r="C14" s="3690">
        <v>5</v>
      </c>
      <c r="D14" s="3611">
        <v>5</v>
      </c>
      <c r="E14" s="1364" t="s">
        <v>823</v>
      </c>
      <c r="F14" s="2382"/>
      <c r="G14" s="2382"/>
      <c r="H14" s="2382"/>
      <c r="I14" s="1444"/>
    </row>
    <row r="15" spans="1:12" ht="12.75">
      <c r="A15" s="3600"/>
      <c r="B15" s="3608"/>
      <c r="C15" s="3691"/>
      <c r="D15" s="3611"/>
      <c r="E15" s="1364" t="s">
        <v>824</v>
      </c>
      <c r="F15" s="2382"/>
      <c r="G15" s="2382"/>
      <c r="H15" s="2382"/>
      <c r="I15" s="1444"/>
    </row>
    <row r="16" spans="1:12" ht="12.75">
      <c r="A16" s="3600"/>
      <c r="B16" s="3608"/>
      <c r="C16" s="3692"/>
      <c r="D16" s="3611"/>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681" t="s">
        <v>830</v>
      </c>
      <c r="F18" s="3682"/>
      <c r="G18" s="3682"/>
      <c r="H18" s="3682"/>
      <c r="I18" s="3682"/>
      <c r="K18" s="1321" t="s">
        <v>456</v>
      </c>
      <c r="L18" s="1321">
        <f>IF(C1="",'数据-汇总表'!E3,SUMIF(项目类型,C1,'数据-汇总表'!E17:E26)+SUMIF(项目类型,C1,'数据-汇总表'!I17:I26))</f>
        <v>29509.480000000025</v>
      </c>
      <c r="M18" s="1321">
        <f>IF(C1="",'数据-汇总表'!E3,SUMIF(项目类型,C1,'数据-汇总表'!E17:E26))</f>
        <v>29509.480000000025</v>
      </c>
    </row>
    <row r="19" spans="1:36" ht="15">
      <c r="A19" s="2389" t="s">
        <v>831</v>
      </c>
      <c r="B19" s="2390" t="s">
        <v>832</v>
      </c>
      <c r="C19" s="2391">
        <f ca="1">SUMIF(INDIRECT("'"&amp;C4&amp;"'"&amp;"!A:A"),结果表!B19,INDIRECT("'"&amp;C4&amp;"'"&amp;"!B:B"))</f>
        <v>115053</v>
      </c>
      <c r="D19" s="2335">
        <f ca="1">SUMIF(INDIRECT("'"&amp;D4&amp;"'"&amp;"!A:A"),结果表!B19,INDIRECT("'"&amp;D4&amp;"'"&amp;"!B:B"))</f>
        <v>102057</v>
      </c>
      <c r="E19" s="2389" t="s">
        <v>833</v>
      </c>
      <c r="F19" s="2390" t="s">
        <v>832</v>
      </c>
      <c r="G19" s="2392">
        <f ca="1">ROUND(C19*$C$18+D19*$D$18,0)</f>
        <v>108555</v>
      </c>
      <c r="H19" s="2393" t="s">
        <v>834</v>
      </c>
      <c r="I19" s="1776"/>
      <c r="K19" s="1321" t="s">
        <v>460</v>
      </c>
      <c r="L19" s="1321">
        <f>IF(C1="",'数据-汇总表'!D3,SUMIF(项目类型,C1,'数据-汇总表'!D17:D26)+SUMIF(项目类型,C1,'数据-汇总表'!H17:H27))</f>
        <v>7912.64</v>
      </c>
      <c r="M19" s="1321">
        <f>IF(C1="",'数据-汇总表'!D3,SUMIF(项目类型,C1,'数据-汇总表'!D17:D26))</f>
        <v>7912.64</v>
      </c>
    </row>
    <row r="20" spans="1:36" ht="15">
      <c r="A20" s="2394"/>
      <c r="B20" s="2395" t="s">
        <v>835</v>
      </c>
      <c r="C20" s="1989">
        <f ca="1">SUMIF(INDIRECT("'"&amp;C4&amp;"'"&amp;"!A:A"),结果表!B20,INDIRECT("'"&amp;C4&amp;"'"&amp;"!B:B"))</f>
        <v>38988</v>
      </c>
      <c r="D20" s="1992">
        <f ca="1">SUMIF(INDIRECT("'"&amp;D4&amp;"'"&amp;"!A:A"),结果表!B20,INDIRECT("'"&amp;D4&amp;"'"&amp;"!B:B"))</f>
        <v>34584</v>
      </c>
      <c r="E20" s="2394"/>
      <c r="F20" s="2395" t="s">
        <v>835</v>
      </c>
      <c r="G20" s="2396">
        <f ca="1">ROUND(C20*$C$18+D20*$D$18,0)</f>
        <v>36786</v>
      </c>
      <c r="H20" s="1481" t="s">
        <v>836</v>
      </c>
      <c r="I20" s="1776"/>
    </row>
    <row r="21" spans="1:36" ht="15" customHeight="1">
      <c r="A21" s="2309"/>
      <c r="B21" s="2397" t="s">
        <v>837</v>
      </c>
      <c r="C21" s="2398">
        <f ca="1">ROUND(C19*10000/L19,0)</f>
        <v>145404</v>
      </c>
      <c r="D21" s="2399">
        <f ca="1">ROUND(D19*10000/L19,0)</f>
        <v>128980</v>
      </c>
      <c r="E21" s="2309"/>
      <c r="F21" s="2397" t="s">
        <v>837</v>
      </c>
      <c r="G21" s="2400">
        <f ca="1">ROUND(G19*10000/L19,0)</f>
        <v>137192</v>
      </c>
      <c r="H21" s="2401" t="s">
        <v>836</v>
      </c>
      <c r="I21" s="1776"/>
    </row>
    <row r="22" spans="1:36" ht="14.25">
      <c r="A22" s="2402" t="s">
        <v>838</v>
      </c>
      <c r="B22" s="2403"/>
      <c r="C22" s="2404"/>
      <c r="D22" s="2405">
        <f ca="1">IF(C19&lt;D19,D19/C19-1,C19/D19-1)</f>
        <v>0.12734060378024048</v>
      </c>
      <c r="E22" s="1776"/>
      <c r="F22" s="1776"/>
      <c r="G22" s="1776"/>
      <c r="H22" s="1776"/>
      <c r="I22" s="1776"/>
    </row>
    <row r="23" spans="1:36" ht="12.75">
      <c r="A23" s="2370"/>
      <c r="B23" s="2370"/>
      <c r="C23" s="2370"/>
      <c r="D23" s="2370"/>
      <c r="E23" s="1776"/>
      <c r="F23" s="1776"/>
      <c r="G23" s="1776"/>
      <c r="H23" s="1776"/>
      <c r="I23" s="1776"/>
    </row>
    <row r="24" spans="1:36" ht="14.25">
      <c r="A24" s="3601" t="s">
        <v>839</v>
      </c>
      <c r="B24" s="2390" t="s">
        <v>832</v>
      </c>
      <c r="C24" s="2392">
        <f>IF(B30=0,0,D30)</f>
        <v>0</v>
      </c>
      <c r="D24" s="2406"/>
      <c r="E24" s="1776"/>
      <c r="F24" s="1776"/>
      <c r="G24" s="1776"/>
      <c r="H24" s="1776"/>
      <c r="I24" s="1776"/>
    </row>
    <row r="25" spans="1:36" ht="14.25">
      <c r="A25" s="3602"/>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108555</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95203</v>
      </c>
      <c r="D34" s="2427">
        <f ca="1">IF(C33="自定义",ROUND(C34/C32,3),IF(C33="收益比率",SUMIF(INDIRECT("'"&amp;D33&amp;"'"&amp;"!b:b"),"土地收益比率",INDIRECT("'"&amp;D33&amp;"'"&amp;"!c:c")),SUMIF(INDIRECT("'"&amp;D33&amp;"'"&amp;"!b:b"),"土地成本比率",INDIRECT("'"&amp;D33&amp;"'"&amp;"!c:c"))))</f>
        <v>0.877</v>
      </c>
      <c r="E34" s="2428" t="s">
        <v>853</v>
      </c>
      <c r="F34" s="2429"/>
      <c r="G34" s="1776"/>
      <c r="H34" s="1776"/>
      <c r="I34" s="1776"/>
    </row>
    <row r="35" spans="1:15" ht="15">
      <c r="A35" s="2430"/>
      <c r="B35" s="2431" t="s">
        <v>854</v>
      </c>
      <c r="C35" s="2432">
        <f ca="1">IF(C33="自定义",F35,ROUND(C32*D35,0))</f>
        <v>13352</v>
      </c>
      <c r="D35" s="2433">
        <f ca="1">IF(C33="自定义",ROUND(C35/C32,3),IF(C33="收益比率",SUMIF(INDIRECT("'"&amp;D33&amp;"'"&amp;"!b:b"),"建筑物收益比率",INDIRECT("'"&amp;D33&amp;"'"&amp;"!c:c")),SUMIF(INDIRECT("'"&amp;D33&amp;"'"&amp;"!b:b"),"建筑物成本比率",INDIRECT("'"&amp;D33&amp;"'"&amp;"!c:c"))))</f>
        <v>0.123</v>
      </c>
      <c r="E35" s="2434" t="s">
        <v>855</v>
      </c>
      <c r="F35" s="2435"/>
      <c r="G35" s="1776"/>
      <c r="H35" s="1776"/>
      <c r="I35" s="1776"/>
    </row>
    <row r="36" spans="1:15" ht="15">
      <c r="A36" s="3603" t="s">
        <v>856</v>
      </c>
      <c r="B36" s="2436" t="s">
        <v>857</v>
      </c>
      <c r="C36" s="2437"/>
      <c r="D36" s="2438"/>
      <c r="E36" s="2439"/>
      <c r="F36" s="2440"/>
      <c r="G36" s="1776"/>
      <c r="H36" s="1776"/>
      <c r="I36" s="1776"/>
    </row>
    <row r="37" spans="1:15" ht="15">
      <c r="A37" s="3604"/>
      <c r="B37" s="2441" t="s">
        <v>858</v>
      </c>
      <c r="C37" s="2442">
        <v>0</v>
      </c>
      <c r="D37" s="2443"/>
      <c r="E37" s="2443"/>
      <c r="F37" s="2440"/>
      <c r="G37" s="1776"/>
      <c r="H37" s="1776"/>
      <c r="I37" s="1776"/>
    </row>
    <row r="38" spans="1:15" ht="15">
      <c r="A38" s="3605"/>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683" t="s">
        <v>867</v>
      </c>
      <c r="B45" s="3684"/>
      <c r="C45" s="3685"/>
      <c r="D45" s="1320">
        <f ca="1">ROUND(H101*F45,0)</f>
        <v>108555</v>
      </c>
      <c r="E45" s="2462" t="s">
        <v>868</v>
      </c>
      <c r="F45" s="2463">
        <v>1</v>
      </c>
      <c r="G45" s="2464" t="s">
        <v>869</v>
      </c>
      <c r="H45" s="1776"/>
      <c r="I45" s="1776"/>
      <c r="J45" s="3672" t="s">
        <v>870</v>
      </c>
      <c r="K45" s="3672"/>
      <c r="L45" s="3672"/>
      <c r="M45" s="3672"/>
      <c r="N45" s="3672"/>
      <c r="O45" s="3672"/>
    </row>
    <row r="46" spans="1:15" ht="14.25" customHeight="1">
      <c r="A46" s="3686" t="s">
        <v>871</v>
      </c>
      <c r="B46" s="3687"/>
      <c r="C46" s="3687"/>
      <c r="D46" s="3687"/>
      <c r="E46" s="3687"/>
      <c r="F46" s="3687"/>
      <c r="G46" s="3688"/>
      <c r="H46" s="2465"/>
      <c r="I46" s="1777"/>
      <c r="J46" s="617">
        <v>1</v>
      </c>
      <c r="K46" s="3665" t="s">
        <v>872</v>
      </c>
      <c r="L46" s="3665"/>
      <c r="M46" s="3689"/>
      <c r="N46" s="3689"/>
      <c r="O46" s="3689"/>
    </row>
    <row r="47" spans="1:15" ht="12" customHeight="1">
      <c r="A47" s="2466" t="s">
        <v>873</v>
      </c>
      <c r="B47" s="2467"/>
      <c r="C47" s="2468"/>
      <c r="D47" s="1375" t="s">
        <v>874</v>
      </c>
      <c r="E47" s="1321" t="s">
        <v>875</v>
      </c>
      <c r="F47" s="2469" t="s">
        <v>876</v>
      </c>
      <c r="G47" s="2470" t="s">
        <v>877</v>
      </c>
      <c r="H47" s="2471"/>
      <c r="I47" s="1777"/>
      <c r="J47" s="617">
        <v>2</v>
      </c>
      <c r="K47" s="3665" t="s">
        <v>878</v>
      </c>
      <c r="L47" s="3665"/>
      <c r="M47" s="3669">
        <f>'数据-取费表'!B2</f>
        <v>45456</v>
      </c>
      <c r="N47" s="3669"/>
      <c r="O47" s="3669"/>
    </row>
    <row r="48" spans="1:15" ht="25.5">
      <c r="A48" s="3670" t="s">
        <v>879</v>
      </c>
      <c r="B48" s="3653"/>
      <c r="C48" s="3653"/>
      <c r="D48" s="1479">
        <f ca="1">IF(H48="情况1",0,IF(H48="情况2",D52,IF(H48="情况3",D53,IF(H48="情况4",D54))))</f>
        <v>5686</v>
      </c>
      <c r="E48" s="1379" t="str">
        <f>IF(H48="情况4","(销售额-原购置价)×税（费）率","销售额×税（费）率")</f>
        <v>销售额×税（费）率</v>
      </c>
      <c r="F48" s="2473">
        <f>IF(H48="情况1","免征",'数据-取费表'!B41)</f>
        <v>5.5E-2</v>
      </c>
      <c r="G48" s="2474" t="s">
        <v>880</v>
      </c>
      <c r="H48" s="2475" t="s">
        <v>881</v>
      </c>
      <c r="I48" s="2465"/>
      <c r="J48" s="617">
        <v>3</v>
      </c>
      <c r="K48" s="3665" t="s">
        <v>882</v>
      </c>
      <c r="L48" s="3665"/>
      <c r="M48" s="3671">
        <f ca="1">H101</f>
        <v>108555</v>
      </c>
      <c r="N48" s="3671"/>
      <c r="O48" s="3671"/>
    </row>
    <row r="49" spans="1:35" ht="25.5" customHeight="1">
      <c r="A49" s="2472" t="s">
        <v>883</v>
      </c>
      <c r="B49" s="3638" t="s">
        <v>884</v>
      </c>
      <c r="C49" s="3638"/>
      <c r="D49" s="2476">
        <v>0</v>
      </c>
      <c r="E49" s="1385" t="s">
        <v>885</v>
      </c>
      <c r="F49" s="2477" t="s">
        <v>124</v>
      </c>
      <c r="G49" s="3666"/>
      <c r="H49" s="2478" t="s">
        <v>886</v>
      </c>
      <c r="I49" s="2515"/>
      <c r="J49" s="617">
        <v>4</v>
      </c>
      <c r="K49" s="3665" t="str">
        <f>IF(项目基本情况!E8="房地产抵押价值","房地产抵押价值","抵押担保权已注销时的房地产抵押价值")</f>
        <v>房地产抵押价值</v>
      </c>
      <c r="L49" s="3665"/>
      <c r="M49" s="3671">
        <f ca="1">IF(项目基本情况!E8="房地产抵押价值",H107,H109)</f>
        <v>108555</v>
      </c>
      <c r="N49" s="3671"/>
      <c r="O49" s="3671"/>
    </row>
    <row r="50" spans="1:35" ht="25.5" customHeight="1">
      <c r="A50" s="2479"/>
      <c r="B50" s="3638" t="s">
        <v>887</v>
      </c>
      <c r="C50" s="3638"/>
      <c r="D50" s="2480"/>
      <c r="E50" s="1400"/>
      <c r="F50" s="2477"/>
      <c r="G50" s="3667"/>
      <c r="H50" s="2481" t="s">
        <v>888</v>
      </c>
      <c r="I50" s="2515"/>
      <c r="J50" s="3672" t="s">
        <v>889</v>
      </c>
      <c r="K50" s="3672"/>
      <c r="L50" s="3672"/>
      <c r="M50" s="3672"/>
      <c r="N50" s="3672"/>
      <c r="O50" s="3672"/>
    </row>
    <row r="51" spans="1:35" ht="20.45" customHeight="1">
      <c r="A51" s="2482"/>
      <c r="B51" s="3638" t="s">
        <v>890</v>
      </c>
      <c r="C51" s="3638"/>
      <c r="D51" s="1375"/>
      <c r="E51" s="1389"/>
      <c r="F51" s="2477"/>
      <c r="G51" s="3668"/>
      <c r="H51" s="2481" t="s">
        <v>891</v>
      </c>
      <c r="I51" s="2515"/>
      <c r="J51" s="2514" t="s">
        <v>892</v>
      </c>
      <c r="K51" s="3665" t="s">
        <v>893</v>
      </c>
      <c r="L51" s="3665"/>
      <c r="M51" s="2514" t="s">
        <v>894</v>
      </c>
      <c r="N51" s="2514" t="s">
        <v>895</v>
      </c>
      <c r="O51" s="2514" t="s">
        <v>896</v>
      </c>
    </row>
    <row r="52" spans="1:35" ht="24" customHeight="1">
      <c r="A52" s="2483" t="s">
        <v>897</v>
      </c>
      <c r="B52" s="3638" t="s">
        <v>898</v>
      </c>
      <c r="C52" s="3638"/>
      <c r="D52" s="1375">
        <f ca="1">ROUND(D45*'数据-取费表'!B41/(1+'数据-取费表'!C42),0)</f>
        <v>5686</v>
      </c>
      <c r="E52" s="1379" t="s">
        <v>899</v>
      </c>
      <c r="F52" s="2484">
        <f>'数据-取费表'!B41</f>
        <v>5.5E-2</v>
      </c>
      <c r="G52" s="2485"/>
      <c r="H52" s="1494"/>
      <c r="I52" s="2516"/>
      <c r="J52" s="617">
        <v>1</v>
      </c>
      <c r="K52" s="3661" t="s">
        <v>900</v>
      </c>
      <c r="L52" s="3661"/>
      <c r="M52" s="2517">
        <f ca="1">D48</f>
        <v>5686</v>
      </c>
      <c r="N52" s="617" t="str">
        <f>E48</f>
        <v>销售额×税（费）率</v>
      </c>
      <c r="O52" s="2518">
        <f>F48</f>
        <v>5.5E-2</v>
      </c>
    </row>
    <row r="53" spans="1:35" ht="12" customHeight="1">
      <c r="A53" s="2483" t="s">
        <v>901</v>
      </c>
      <c r="B53" s="3637" t="s">
        <v>902</v>
      </c>
      <c r="C53" s="3657"/>
      <c r="D53" s="1375">
        <f ca="1">ROUND(D45*'数据-取费表'!B41/(1+'数据-取费表'!C42),0)</f>
        <v>5686</v>
      </c>
      <c r="E53" s="1379" t="s">
        <v>899</v>
      </c>
      <c r="F53" s="2484">
        <f>'数据-取费表'!B41</f>
        <v>5.5E-2</v>
      </c>
      <c r="G53" s="2485"/>
      <c r="H53" s="1494"/>
      <c r="I53" s="2516"/>
      <c r="J53" s="617">
        <v>2</v>
      </c>
      <c r="K53" s="3661" t="s">
        <v>903</v>
      </c>
      <c r="L53" s="3661"/>
      <c r="M53" s="2517">
        <f t="shared" ref="M53:O54" ca="1" si="0">D55</f>
        <v>54</v>
      </c>
      <c r="N53" s="617" t="str">
        <f t="shared" si="0"/>
        <v>销售额×税（费）率</v>
      </c>
      <c r="O53" s="2518">
        <f t="shared" si="0"/>
        <v>5.0000000000000001E-4</v>
      </c>
    </row>
    <row r="54" spans="1:35" ht="12" customHeight="1">
      <c r="A54" s="2483" t="s">
        <v>904</v>
      </c>
      <c r="B54" s="3637" t="s">
        <v>905</v>
      </c>
      <c r="C54" s="3657"/>
      <c r="D54" s="1375">
        <f ca="1">C68</f>
        <v>5686</v>
      </c>
      <c r="E54" s="1389" t="s">
        <v>906</v>
      </c>
      <c r="F54" s="2484">
        <f>'数据-取费表'!B41</f>
        <v>5.5E-2</v>
      </c>
      <c r="G54" s="2485"/>
      <c r="H54" s="2486"/>
      <c r="I54" s="2516"/>
      <c r="J54" s="617">
        <v>3</v>
      </c>
      <c r="K54" s="3661" t="s">
        <v>907</v>
      </c>
      <c r="L54" s="3661"/>
      <c r="M54" s="2517">
        <f t="shared" ca="1" si="0"/>
        <v>0</v>
      </c>
      <c r="N54" s="617" t="str">
        <f t="shared" si="0"/>
        <v>增值额×税（费）率</v>
      </c>
      <c r="O54" s="2519" t="str">
        <f t="shared" si="0"/>
        <v>——</v>
      </c>
    </row>
    <row r="55" spans="1:35" ht="24" customHeight="1">
      <c r="A55" s="3652" t="s">
        <v>908</v>
      </c>
      <c r="B55" s="3653"/>
      <c r="C55" s="3653"/>
      <c r="D55" s="1479">
        <f ca="1">IF(H55="个人住宅",0,ROUND(D45*I55,0))</f>
        <v>54</v>
      </c>
      <c r="E55" s="1379" t="s">
        <v>909</v>
      </c>
      <c r="F55" s="2484">
        <f>IF(H55="正常",I55,"免征")</f>
        <v>5.0000000000000001E-4</v>
      </c>
      <c r="G55" s="2485"/>
      <c r="H55" s="2475" t="s">
        <v>910</v>
      </c>
      <c r="I55" s="2520">
        <f>'数据-取费表'!B49</f>
        <v>5.0000000000000001E-4</v>
      </c>
      <c r="J55" s="617" t="str">
        <f>IF(H59="非个人房产","",4)</f>
        <v/>
      </c>
      <c r="K55" s="3661" t="str">
        <f>IF(H59="非个人房产","——","个人所得税")</f>
        <v>——</v>
      </c>
      <c r="L55" s="3661"/>
      <c r="M55" s="2521" t="str">
        <f>D59</f>
        <v>——</v>
      </c>
      <c r="N55" s="598" t="str">
        <f>E59</f>
        <v>——</v>
      </c>
      <c r="O55" s="2522" t="str">
        <f>F59</f>
        <v>——</v>
      </c>
    </row>
    <row r="56" spans="1:35" ht="24.75">
      <c r="A56" s="3652" t="s">
        <v>911</v>
      </c>
      <c r="B56" s="3653"/>
      <c r="C56" s="3653"/>
      <c r="D56" s="1479">
        <f ca="1">IF(H56="个人住宅",D57,D58)</f>
        <v>0</v>
      </c>
      <c r="E56" s="1379" t="s">
        <v>912</v>
      </c>
      <c r="F56" s="2484" t="str">
        <f>IF(H56="正常",F58,"免征")</f>
        <v>——</v>
      </c>
      <c r="G56" s="2487" t="s">
        <v>913</v>
      </c>
      <c r="H56" s="2488" t="s">
        <v>910</v>
      </c>
      <c r="I56" s="2497"/>
      <c r="J56" s="617" t="str">
        <f>IF(项目基本情况!K6="上海银行",IF(J55="",4,J55+1),"")</f>
        <v/>
      </c>
      <c r="K56" s="3654" t="str">
        <f>IF(项目基本情况!K6="上海银行","其他处置费用","")</f>
        <v/>
      </c>
      <c r="L56" s="3655"/>
      <c r="M56" s="2517" t="str">
        <f>IF(项目基本情况!K6="上海银行",M69,"")</f>
        <v/>
      </c>
      <c r="N56" s="3654" t="str">
        <f>IF(项目基本情况!K6="上海银行","包含处置中涉及的律师、诉讼、拍卖、评估等费用","")</f>
        <v/>
      </c>
      <c r="O56" s="3656"/>
    </row>
    <row r="57" spans="1:35" ht="12.75">
      <c r="A57" s="2483" t="s">
        <v>883</v>
      </c>
      <c r="B57" s="3637" t="s">
        <v>914</v>
      </c>
      <c r="C57" s="3657"/>
      <c r="D57" s="2476">
        <v>0</v>
      </c>
      <c r="E57" s="1385" t="s">
        <v>885</v>
      </c>
      <c r="F57" s="1321"/>
      <c r="G57" s="2485"/>
      <c r="H57" s="2489"/>
      <c r="I57" s="2497"/>
      <c r="J57" s="3661">
        <f>IF(AND(J55="",J56=""),4,IF(项目基本情况!K6="上海银行",结果表!J56+1,结果表!J55+1))</f>
        <v>4</v>
      </c>
      <c r="K57" s="3661" t="s">
        <v>915</v>
      </c>
      <c r="L57" s="2523" t="s">
        <v>916</v>
      </c>
      <c r="M57" s="2524"/>
      <c r="N57" s="2525">
        <f ca="1">SUMIF(M52:M56,"&lt;9e307")</f>
        <v>5740</v>
      </c>
      <c r="O57" s="2526"/>
      <c r="P57" s="2527">
        <f ca="1">N57/M49</f>
        <v>5.2876422090184699E-2</v>
      </c>
    </row>
    <row r="58" spans="1:35" ht="24.75">
      <c r="A58" s="2483" t="s">
        <v>897</v>
      </c>
      <c r="B58" s="3637" t="s">
        <v>917</v>
      </c>
      <c r="C58" s="3638"/>
      <c r="D58" s="1479">
        <f ca="1">IF(H58="转让取得",C81,C97)</f>
        <v>0</v>
      </c>
      <c r="E58" s="1379" t="s">
        <v>912</v>
      </c>
      <c r="F58" s="1321" t="s">
        <v>124</v>
      </c>
      <c r="G58" s="2485"/>
      <c r="H58" s="2488" t="s">
        <v>918</v>
      </c>
      <c r="I58" s="2497"/>
      <c r="J58" s="3661"/>
      <c r="K58" s="3661"/>
      <c r="L58" s="2523" t="s">
        <v>919</v>
      </c>
      <c r="M58" s="2528"/>
      <c r="N58" s="2529" t="str">
        <f ca="1">NUMBERSTRING(INT(N57*10000),2)&amp;"元整"</f>
        <v>伍仟柒佰肆拾万元整</v>
      </c>
      <c r="O58" s="2530"/>
    </row>
    <row r="59" spans="1:35" ht="24">
      <c r="A59" s="3658" t="s">
        <v>920</v>
      </c>
      <c r="B59" s="3659"/>
      <c r="C59" s="3659"/>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62">
        <f>J57+1</f>
        <v>5</v>
      </c>
      <c r="K59" s="3661" t="s">
        <v>923</v>
      </c>
      <c r="L59" s="617" t="s">
        <v>916</v>
      </c>
      <c r="M59" s="2532"/>
      <c r="N59" s="2533">
        <f ca="1">M49-N57</f>
        <v>102815</v>
      </c>
      <c r="O59" s="2534"/>
    </row>
    <row r="60" spans="1:35" ht="12" customHeight="1">
      <c r="A60" s="2495"/>
      <c r="B60" s="2370"/>
      <c r="C60" s="2370"/>
      <c r="D60" s="2370"/>
      <c r="E60" s="2496"/>
      <c r="F60" s="2497"/>
      <c r="G60" s="2497"/>
      <c r="H60" s="2498"/>
      <c r="I60" s="1776"/>
      <c r="J60" s="3663"/>
      <c r="K60" s="3661"/>
      <c r="L60" s="2523" t="s">
        <v>919</v>
      </c>
      <c r="M60" s="2528"/>
      <c r="N60" s="2529" t="str">
        <f ca="1">NUMBERSTRING(INT(N59*10000),2)&amp;"元整"</f>
        <v>壹拾亿贰仟捌佰壹拾伍万元整</v>
      </c>
      <c r="O60" s="2530"/>
    </row>
    <row r="61" spans="1:35" ht="12.75">
      <c r="A61" s="3660" t="s">
        <v>924</v>
      </c>
      <c r="B61" s="3660"/>
      <c r="C61" s="3660"/>
      <c r="D61" s="3660"/>
      <c r="E61" s="3660"/>
      <c r="F61" s="2497"/>
      <c r="G61" s="2497"/>
      <c r="H61" s="2498"/>
      <c r="I61" s="1776"/>
      <c r="J61" s="617">
        <f>J59+1</f>
        <v>6</v>
      </c>
      <c r="K61" s="3661" t="s">
        <v>925</v>
      </c>
      <c r="L61" s="3661"/>
      <c r="M61" s="2535"/>
      <c r="N61" s="2536">
        <f ca="1">ROUND(N59*10000/'数据-汇总表'!E3,0)</f>
        <v>34841</v>
      </c>
      <c r="O61" s="2537"/>
    </row>
    <row r="62" spans="1:35" ht="12.75">
      <c r="A62" s="3635" t="s">
        <v>926</v>
      </c>
      <c r="B62" s="3636"/>
      <c r="C62" s="568"/>
      <c r="D62" s="568" t="s">
        <v>927</v>
      </c>
      <c r="E62" s="2499" t="s">
        <v>877</v>
      </c>
      <c r="F62" s="2497"/>
      <c r="G62" s="2497"/>
      <c r="H62" s="2498"/>
      <c r="I62" s="1776"/>
    </row>
    <row r="63" spans="1:35" ht="12.75">
      <c r="A63" s="2500" t="s">
        <v>928</v>
      </c>
      <c r="B63" s="627" t="s">
        <v>929</v>
      </c>
      <c r="C63" s="2501">
        <f ca="1">ROUND((C64+C65)/(1+'数据-取费表'!C42),0)</f>
        <v>103386</v>
      </c>
      <c r="D63" s="627"/>
      <c r="E63" s="2502"/>
      <c r="F63" s="2497"/>
      <c r="G63" s="2497"/>
      <c r="H63" s="2498"/>
      <c r="I63" s="1776"/>
      <c r="J63" s="3664" t="s">
        <v>930</v>
      </c>
      <c r="K63" s="2538" t="s">
        <v>931</v>
      </c>
      <c r="L63" s="2538">
        <f ca="1">IF(M49&gt;10000,M49*0.5%,IF(AND(M49&gt;1000,M49&lt;=10000),M49*1%,IF(AND(M49&gt;100,M49&lt;=1000),M49*3%,IF(AND(M49&gt;10,M49&lt;=100),M49*5%,M49*8%))))</f>
        <v>542.77499999999998</v>
      </c>
      <c r="M63" s="1321">
        <f ca="1">ROUND(L63,1)</f>
        <v>542.79999999999995</v>
      </c>
      <c r="N63" s="2539"/>
      <c r="Z63" s="2367"/>
      <c r="AI63" s="2368"/>
    </row>
    <row r="64" spans="1:35" ht="14.25" customHeight="1">
      <c r="A64" s="2503" t="s">
        <v>932</v>
      </c>
      <c r="B64" s="554" t="s">
        <v>933</v>
      </c>
      <c r="C64" s="2504">
        <f ca="1">D45</f>
        <v>108555</v>
      </c>
      <c r="D64" s="554" t="s">
        <v>124</v>
      </c>
      <c r="E64" s="2505"/>
      <c r="F64" s="2497"/>
      <c r="G64" s="2497"/>
      <c r="H64" s="2498"/>
      <c r="I64" s="1776"/>
      <c r="J64" s="3664"/>
      <c r="K64" s="2538" t="s">
        <v>934</v>
      </c>
      <c r="L64" s="2538">
        <f ca="1">IF(M49&gt;2000,M49*0.5%,IF(AND(M49&gt;1000,M49&lt;=2000),M49*0.6%,IF(AND(M49&gt;500,M49&lt;=1000),M49*0.7%,IF(AND(M49&gt;200,M49&lt;=500),M49*0.8%,IF(AND(M49&gt;100,M49&lt;=200),M49*0.9%,IF(AND(M49&gt;50,M49&lt;=100),M49*1%,IF(AND(M49&gt;20,M49&lt;=50),M49*1.5%,IF(AND(M49&gt;10,M49&lt;=20),M49*2%,IF(AND(M49&gt;1,M49&lt;=10),M49*2.5%)))))))))</f>
        <v>542.77499999999998</v>
      </c>
      <c r="M64" s="1321">
        <f t="shared" ref="M64:M65" ca="1" si="1">ROUND(L64,1)</f>
        <v>542.79999999999995</v>
      </c>
      <c r="N64" s="1494" t="s">
        <v>935</v>
      </c>
      <c r="Z64" s="2367"/>
      <c r="AI64" s="2368"/>
    </row>
    <row r="65" spans="1:35" ht="14.25" customHeight="1">
      <c r="A65" s="2503" t="s">
        <v>936</v>
      </c>
      <c r="B65" s="554" t="s">
        <v>937</v>
      </c>
      <c r="C65" s="2541"/>
      <c r="D65" s="554"/>
      <c r="E65" s="2505"/>
      <c r="F65" s="2497"/>
      <c r="G65" s="2497"/>
      <c r="H65" s="2498"/>
      <c r="I65" s="1776"/>
      <c r="J65" s="3664"/>
      <c r="K65" s="2538" t="s">
        <v>938</v>
      </c>
      <c r="L65" s="2538">
        <f ca="1">IF(M49&gt;1000,M49*0.1%,IF(AND(M49&gt;500,M49&lt;=1000),M49*0.5%,IF(AND(M49&gt;50,M49&lt;=500),M49*1%,IF(AND(M49&gt;1,M49&lt;=50),M49*1.5%))))</f>
        <v>108.55500000000001</v>
      </c>
      <c r="M65" s="1321">
        <f t="shared" ca="1" si="1"/>
        <v>108.6</v>
      </c>
      <c r="N65" s="1494" t="s">
        <v>935</v>
      </c>
      <c r="Z65" s="2367"/>
      <c r="AI65" s="2368"/>
    </row>
    <row r="66" spans="1:35" ht="14.25" customHeight="1">
      <c r="A66" s="2500" t="s">
        <v>939</v>
      </c>
      <c r="B66" s="2542" t="s">
        <v>940</v>
      </c>
      <c r="C66" s="2543"/>
      <c r="D66" s="2542" t="s">
        <v>124</v>
      </c>
      <c r="E66" s="2544" t="s">
        <v>941</v>
      </c>
      <c r="F66" s="2497"/>
      <c r="G66" s="2497"/>
      <c r="H66" s="2498"/>
      <c r="I66" s="1776"/>
      <c r="J66" s="3664"/>
      <c r="K66" s="2538" t="s">
        <v>942</v>
      </c>
      <c r="L66" s="2538">
        <f ca="1">M49*0.5%</f>
        <v>542.77499999999998</v>
      </c>
      <c r="M66" s="1321">
        <f ca="1">IF(L66&gt;0.5,0.5,ROUND(L66,0))</f>
        <v>0.5</v>
      </c>
      <c r="N66" s="1494" t="s">
        <v>943</v>
      </c>
      <c r="Z66" s="2367"/>
      <c r="AI66" s="2368"/>
    </row>
    <row r="67" spans="1:35" ht="14.25" customHeight="1">
      <c r="A67" s="2500" t="s">
        <v>944</v>
      </c>
      <c r="B67" s="2542" t="s">
        <v>945</v>
      </c>
      <c r="C67" s="2545">
        <f ca="1">C63-C66</f>
        <v>103386</v>
      </c>
      <c r="D67" s="554" t="s">
        <v>124</v>
      </c>
      <c r="E67" s="2505"/>
      <c r="F67" s="2497"/>
      <c r="G67" s="2497"/>
      <c r="H67" s="2498"/>
      <c r="I67" s="1776"/>
      <c r="J67" s="3664"/>
      <c r="K67" s="2538" t="s">
        <v>946</v>
      </c>
      <c r="L67" s="2538">
        <f ca="1">IF(M49&gt;=10000,(8.25+(M49-10000)*0.01%),IF(AND(M49&gt;=8000,M49&lt;10000),(7.85+(M49-8000)*0.02%),IF(AND(M49&gt;=5000,M49&lt;8000),(6.65+(M49-5000)*0.04%),IF(AND(M49&gt;=2000,M49&lt;5000),(4.25+(PM49-2000)*0.08%),IF(AND(M49&gt;=1000,M49&lt;2000),(2.75+(M49-1000)*0.15%),IF(AND(M49&gt;=100,M49&lt;1000),(0.5+(M49-100)*0.25%),IF(AND(M49&gt;0,M49&lt;100),M49*0.5%)))))))</f>
        <v>18.105499999999999</v>
      </c>
      <c r="M67" s="1321">
        <f ca="1">ROUND(L67*0.9,1)</f>
        <v>16.3</v>
      </c>
      <c r="N67" s="2539"/>
      <c r="Z67" s="2367"/>
      <c r="AI67" s="2368"/>
    </row>
    <row r="68" spans="1:35" ht="14.25" customHeight="1">
      <c r="A68" s="2546" t="s">
        <v>947</v>
      </c>
      <c r="B68" s="2547" t="s">
        <v>948</v>
      </c>
      <c r="C68" s="2548">
        <f ca="1">IF(C67&lt;=0,0,ROUND(C67*D68,0))</f>
        <v>5686</v>
      </c>
      <c r="D68" s="820">
        <f>'数据-取费表'!B41</f>
        <v>5.5E-2</v>
      </c>
      <c r="E68" s="2549"/>
      <c r="F68" s="2497"/>
      <c r="G68" s="2497"/>
      <c r="H68" s="2498"/>
      <c r="I68" s="1776"/>
      <c r="J68" s="3664"/>
      <c r="K68" s="2538" t="s">
        <v>949</v>
      </c>
      <c r="L68" s="2538">
        <f ca="1">IF(M49&gt;10000,M49*0.5%,IF(AND(M49&gt;5000,M49&lt;=10000),M49*1%,IF(AND(M49&gt;1000,M49&lt;=5000),M49*2%,IF(AND(M49&gt;200,M49&lt;=1000),M49*3%,M49*5%))))</f>
        <v>542.77499999999998</v>
      </c>
      <c r="M68" s="1321">
        <f ca="1">ROUND(L68,1)</f>
        <v>542.79999999999995</v>
      </c>
      <c r="N68" s="2539"/>
      <c r="Z68" s="2367"/>
      <c r="AI68" s="2368"/>
    </row>
    <row r="69" spans="1:35" s="2365" customFormat="1" ht="16.5" customHeight="1">
      <c r="A69" s="2550"/>
      <c r="B69" s="2551"/>
      <c r="C69" s="2552"/>
      <c r="D69" s="737"/>
      <c r="E69" s="2553"/>
      <c r="F69" s="2496"/>
      <c r="G69" s="2496"/>
      <c r="H69" s="2456"/>
      <c r="I69" s="2370"/>
      <c r="J69" s="3664"/>
      <c r="K69" s="2538" t="s">
        <v>950</v>
      </c>
      <c r="L69" s="2538"/>
      <c r="M69" s="1321">
        <f ca="1">ROUND(SUM(M63:M68),0)</f>
        <v>1754</v>
      </c>
      <c r="N69" s="2616">
        <f ca="1">M69/M49</f>
        <v>1.6157708074248076E-2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33" t="s">
        <v>951</v>
      </c>
      <c r="B70" s="3634"/>
      <c r="C70" s="3634"/>
      <c r="D70" s="3634"/>
      <c r="E70" s="3634"/>
      <c r="F70" s="3634"/>
      <c r="G70" s="3634"/>
      <c r="H70" s="3634"/>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35" t="s">
        <v>926</v>
      </c>
      <c r="B71" s="3636"/>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103386</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517</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37" t="s">
        <v>961</v>
      </c>
      <c r="F76" s="3638"/>
      <c r="G76" s="3638"/>
      <c r="H76" s="363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517</v>
      </c>
      <c r="D78" s="2569">
        <f>'数据-取费表'!B43</f>
        <v>5.0000000000000001E-3</v>
      </c>
      <c r="E78" s="3615" t="s">
        <v>966</v>
      </c>
      <c r="F78" s="3616"/>
      <c r="G78" s="3616"/>
      <c r="H78" s="3617"/>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102869</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198.97292069632496</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61540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33" t="s">
        <v>971</v>
      </c>
      <c r="B83" s="3634"/>
      <c r="C83" s="3634"/>
      <c r="D83" s="3634"/>
      <c r="E83" s="3634"/>
      <c r="F83" s="3634"/>
      <c r="G83" s="3634"/>
      <c r="H83" s="3634"/>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35" t="s">
        <v>926</v>
      </c>
      <c r="B84" s="3636"/>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103386</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264562</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650" t="s">
        <v>980</v>
      </c>
      <c r="H90" s="3651"/>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615" t="s">
        <v>984</v>
      </c>
      <c r="F91" s="3616"/>
      <c r="G91" s="3616"/>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615" t="s">
        <v>988</v>
      </c>
      <c r="F92" s="3616"/>
      <c r="G92" s="3616"/>
      <c r="H92" s="3617"/>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517</v>
      </c>
      <c r="D93" s="2569">
        <f>'数据-取费表'!B43</f>
        <v>5.0000000000000001E-3</v>
      </c>
      <c r="E93" s="3615" t="s">
        <v>966</v>
      </c>
      <c r="F93" s="3616"/>
      <c r="G93" s="3616"/>
      <c r="H93" s="3617"/>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618" t="s">
        <v>993</v>
      </c>
      <c r="F94" s="3619"/>
      <c r="G94" s="3619"/>
      <c r="H94" s="3620"/>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-161176</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589" t="s">
        <v>995</v>
      </c>
      <c r="B100" s="3590"/>
      <c r="C100" s="3590"/>
      <c r="D100" s="3621"/>
      <c r="E100" s="3590" t="s">
        <v>996</v>
      </c>
      <c r="F100" s="3590"/>
      <c r="G100" s="3590"/>
      <c r="H100" s="3621"/>
      <c r="I100" s="1776"/>
    </row>
    <row r="101" spans="1:35" ht="18.75" customHeight="1">
      <c r="A101" s="3622" t="s">
        <v>997</v>
      </c>
      <c r="B101" s="3623"/>
      <c r="C101" s="2593" t="str">
        <f>C4</f>
        <v>成本法</v>
      </c>
      <c r="D101" s="2594" t="str">
        <f>D4</f>
        <v>假设开发法</v>
      </c>
      <c r="E101" s="3640" t="s">
        <v>998</v>
      </c>
      <c r="F101" s="3641"/>
      <c r="G101" s="2596" t="s">
        <v>999</v>
      </c>
      <c r="H101" s="2597">
        <f ca="1">H118</f>
        <v>108555</v>
      </c>
      <c r="I101" s="1776"/>
    </row>
    <row r="102" spans="1:35" ht="18.75" customHeight="1">
      <c r="A102" s="3606" t="s">
        <v>1000</v>
      </c>
      <c r="B102" s="2598" t="s">
        <v>999</v>
      </c>
      <c r="C102" s="2593">
        <f ca="1">IF(D32="楼面单价",ROUND(C19,0),C19)</f>
        <v>115053</v>
      </c>
      <c r="D102" s="2594">
        <f ca="1">IF(D32="楼面单价",ROUND(D19,0),D19)</f>
        <v>102057</v>
      </c>
      <c r="E102" s="3640"/>
      <c r="F102" s="3641"/>
      <c r="G102" s="2596" t="s">
        <v>99</v>
      </c>
      <c r="H102" s="2485">
        <f ca="1">I118</f>
        <v>36786</v>
      </c>
      <c r="I102" s="1776"/>
    </row>
    <row r="103" spans="1:35" ht="42.75" customHeight="1">
      <c r="A103" s="3606"/>
      <c r="B103" s="2598" t="s">
        <v>99</v>
      </c>
      <c r="C103" s="2599">
        <f ca="1">C20</f>
        <v>38988</v>
      </c>
      <c r="D103" s="2600">
        <f ca="1">D20</f>
        <v>34584</v>
      </c>
      <c r="E103" s="3624" t="s">
        <v>1001</v>
      </c>
      <c r="F103" s="3625"/>
      <c r="G103" s="2601" t="s">
        <v>102</v>
      </c>
      <c r="H103" s="2597">
        <f>IF(D36="正常操作",H104+H105+H106,H105+H106)</f>
        <v>0</v>
      </c>
      <c r="I103" s="1776"/>
    </row>
    <row r="104" spans="1:35" ht="18.75" customHeight="1">
      <c r="A104" s="3606" t="s">
        <v>1002</v>
      </c>
      <c r="B104" s="2602" t="s">
        <v>999</v>
      </c>
      <c r="C104" s="2603">
        <f ca="1">H118</f>
        <v>108555</v>
      </c>
      <c r="D104" s="2604"/>
      <c r="E104" s="2441" t="s">
        <v>1003</v>
      </c>
      <c r="F104" s="2605"/>
      <c r="G104" s="2601" t="s">
        <v>102</v>
      </c>
      <c r="H104" s="2606">
        <f>IF(D36="同一抵押权人同一抵押物续贷",C36&amp;"（续贷，未扣减，详见特别提示）",C36)</f>
        <v>0</v>
      </c>
      <c r="I104" s="1776"/>
    </row>
    <row r="105" spans="1:35" ht="18.75" customHeight="1">
      <c r="A105" s="3607"/>
      <c r="B105" s="2607" t="s">
        <v>99</v>
      </c>
      <c r="C105" s="2608">
        <f ca="1">I118</f>
        <v>36786</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42" t="str">
        <f>IF(项目基本情况!E8="已注销","——","3.房地产抵押价值")</f>
        <v>3.房地产抵押价值</v>
      </c>
      <c r="F107" s="3641"/>
      <c r="G107" s="2596" t="s">
        <v>999</v>
      </c>
      <c r="H107" s="2597">
        <f ca="1">IF(E107="——","——",H101-H103)</f>
        <v>108555</v>
      </c>
      <c r="I107" s="1776"/>
    </row>
    <row r="108" spans="1:35" ht="18.75" customHeight="1">
      <c r="A108" s="1776"/>
      <c r="B108" s="1776"/>
      <c r="C108" s="1776"/>
      <c r="D108" s="1776"/>
      <c r="E108" s="3642"/>
      <c r="F108" s="3641"/>
      <c r="G108" s="2596" t="s">
        <v>99</v>
      </c>
      <c r="H108" s="2485">
        <f ca="1">IF(H107=H101,H102,ROUND(H107*10000/'数据-汇总表'!E3,0))</f>
        <v>36786</v>
      </c>
      <c r="I108" s="1776"/>
    </row>
    <row r="109" spans="1:35" ht="18.75" customHeight="1">
      <c r="A109" s="1776"/>
      <c r="B109" s="1776"/>
      <c r="C109" s="1776"/>
      <c r="D109" s="1776"/>
      <c r="E109" s="3642" t="str">
        <f>IF(项目基本情况!E8="已注销及未注销","4.抵押担保权已注销时的房地产抵押价值",IF(项目基本情况!E8="已注销","3.抵押担保权已注销时的房地产抵押价值","——"))</f>
        <v>——</v>
      </c>
      <c r="F109" s="3641"/>
      <c r="G109" s="2596" t="s">
        <v>999</v>
      </c>
      <c r="H109" s="2612" t="str">
        <f>IF(E109="——","——",H101-H105-H106)</f>
        <v>——</v>
      </c>
      <c r="I109" s="1776"/>
    </row>
    <row r="110" spans="1:35" ht="18.75" customHeight="1">
      <c r="A110" s="1776"/>
      <c r="B110" s="1776"/>
      <c r="C110" s="1776"/>
      <c r="D110" s="1776"/>
      <c r="E110" s="3642"/>
      <c r="F110" s="3641"/>
      <c r="G110" s="2596" t="s">
        <v>99</v>
      </c>
      <c r="H110" s="2485" t="str">
        <f>IF(H109="——","——",ROUND(H109*10000/'数据-汇总表'!E3,0))</f>
        <v>——</v>
      </c>
      <c r="I110" s="1776"/>
    </row>
    <row r="111" spans="1:35" ht="18.75" customHeight="1">
      <c r="A111" s="1776"/>
      <c r="B111" s="1776"/>
      <c r="C111" s="1776"/>
      <c r="D111" s="1776"/>
      <c r="E111" s="3643" t="str">
        <f>IF(项目基本情况!E9="抵押净值",IF(OR(项目基本情况!E8="已注销",项目基本情况!E8="房地产抵押价值"),"4.抵押净值","5.抵押净值"),"——")</f>
        <v>——</v>
      </c>
      <c r="F111" s="3644"/>
      <c r="G111" s="2596" t="s">
        <v>999</v>
      </c>
      <c r="H111" s="2597" t="str">
        <f>IF(E111="——","——",N59)</f>
        <v>——</v>
      </c>
      <c r="I111" s="1776"/>
    </row>
    <row r="112" spans="1:35" ht="18.75" customHeight="1">
      <c r="A112" s="1776"/>
      <c r="B112" s="1776"/>
      <c r="C112" s="1776"/>
      <c r="D112" s="1776"/>
      <c r="E112" s="3645"/>
      <c r="F112" s="3646"/>
      <c r="G112" s="2613" t="s">
        <v>99</v>
      </c>
      <c r="H112" s="2614" t="str">
        <f>IF(E111="——","——",N61)</f>
        <v>——</v>
      </c>
      <c r="I112" s="1776"/>
    </row>
    <row r="113" spans="1:27" ht="18.75" customHeight="1">
      <c r="A113" s="1776"/>
      <c r="B113" s="1776"/>
      <c r="C113" s="1776"/>
      <c r="D113" s="1776"/>
      <c r="E113" s="3626" t="s">
        <v>1005</v>
      </c>
      <c r="F113" s="3626"/>
      <c r="G113" s="3626"/>
      <c r="H113" s="3626"/>
      <c r="I113" s="1776"/>
    </row>
    <row r="114" spans="1:27" ht="3.75" customHeight="1">
      <c r="A114" s="2370"/>
      <c r="B114" s="2370"/>
      <c r="C114" s="2370"/>
      <c r="D114" s="2370"/>
      <c r="E114" s="2495"/>
      <c r="F114" s="2495"/>
      <c r="G114" s="2495"/>
      <c r="H114" s="2495"/>
      <c r="I114" s="2370"/>
    </row>
    <row r="115" spans="1:27" ht="18.75" customHeight="1">
      <c r="A115" s="3627" t="s">
        <v>1007</v>
      </c>
      <c r="B115" s="3628"/>
      <c r="C115" s="3628"/>
      <c r="D115" s="3628"/>
      <c r="E115" s="3628"/>
      <c r="F115" s="3628"/>
      <c r="G115" s="3628"/>
      <c r="H115" s="3628"/>
      <c r="I115" s="3629"/>
    </row>
    <row r="116" spans="1:27" ht="27" customHeight="1">
      <c r="A116" s="3600" t="s">
        <v>1008</v>
      </c>
      <c r="B116" s="3609" t="s">
        <v>1009</v>
      </c>
      <c r="C116" s="3609" t="s">
        <v>1010</v>
      </c>
      <c r="D116" s="3630" t="s">
        <v>1011</v>
      </c>
      <c r="E116" s="3631"/>
      <c r="F116" s="3632" t="s">
        <v>1012</v>
      </c>
      <c r="G116" s="3632"/>
      <c r="H116" s="3600" t="s">
        <v>1013</v>
      </c>
      <c r="I116" s="3600"/>
    </row>
    <row r="117" spans="1:27" ht="18.75" customHeight="1">
      <c r="A117" s="3600"/>
      <c r="B117" s="3610"/>
      <c r="C117" s="3610"/>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29509.480000000025</v>
      </c>
      <c r="C118" s="2380">
        <f>M19</f>
        <v>7912.64</v>
      </c>
      <c r="D118" s="2380">
        <f ca="1">ROUND(IF(D32="总价",C34,E118*B118/10000),0)</f>
        <v>95203</v>
      </c>
      <c r="E118" s="2380">
        <f ca="1">ROUND(IF(C33="自定义",IF(D32="楼面单价",C34,D118*10000/B118),I118-G118),0)</f>
        <v>32261</v>
      </c>
      <c r="F118" s="2380">
        <f ca="1">ROUND(IF(D32="总价",C35,G118*B118/10000),0)</f>
        <v>13352</v>
      </c>
      <c r="G118" s="2380">
        <f ca="1">ROUND(IF(D32="楼面单价",C35,F118*10000/B118),0)</f>
        <v>4525</v>
      </c>
      <c r="H118" s="2380">
        <f ca="1">ROUND(IF(D32="总价",C32,I118*B118/10000),0)</f>
        <v>108555</v>
      </c>
      <c r="I118" s="2380">
        <f ca="1">ROUND(IF(D32="楼面单价",C32,H118*10000/B118),0)</f>
        <v>36786</v>
      </c>
    </row>
    <row r="119" spans="1:27" ht="18.75" customHeight="1">
      <c r="A119" s="3600" t="s">
        <v>1015</v>
      </c>
      <c r="B119" s="3600"/>
      <c r="C119" s="3600"/>
      <c r="D119" s="3612" t="str">
        <f ca="1">NUMBERSTRING(INT(D118*10000),2)&amp;"元整"</f>
        <v>玖亿伍仟贰佰零叁万元整</v>
      </c>
      <c r="E119" s="3614"/>
      <c r="F119" s="3612" t="str">
        <f ca="1">NUMBERSTRING(INT(F118*10000),2)&amp;"元整"</f>
        <v>壹亿叁仟叁佰伍拾贰万元整</v>
      </c>
      <c r="G119" s="3614"/>
      <c r="H119" s="3612" t="str">
        <f ca="1">NUMBERSTRING(INT(H118*10000),2)&amp;"元整"</f>
        <v>壹拾亿捌仟伍佰伍拾伍万元整</v>
      </c>
      <c r="I119" s="3614"/>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12" t="s">
        <v>1015</v>
      </c>
      <c r="B121" s="3613"/>
      <c r="C121" s="3614"/>
      <c r="D121" s="3612" t="str">
        <f>IF(D120=0,"零元整",NUMBERSTRING(INT(D120*10000),2)&amp;"元整")</f>
        <v>零元整</v>
      </c>
      <c r="E121" s="3613"/>
      <c r="F121" s="3613"/>
      <c r="G121" s="3613"/>
      <c r="H121" s="3613"/>
      <c r="I121" s="3614"/>
      <c r="AA121" s="1731"/>
    </row>
    <row r="122" spans="1:27" ht="18.75" customHeight="1">
      <c r="A122" s="3644" t="str">
        <f>IF(项目基本情况!B9="房地产市场价值","",MID(E107,3,LEN(E107)-2))</f>
        <v>房地产抵押价值</v>
      </c>
      <c r="B122" s="3644"/>
      <c r="C122" s="3644"/>
      <c r="D122" s="3647">
        <f ca="1">H107</f>
        <v>108555</v>
      </c>
      <c r="E122" s="3648"/>
      <c r="F122" s="3648"/>
      <c r="G122" s="3648"/>
      <c r="H122" s="3648"/>
      <c r="I122" s="3649"/>
      <c r="AA122" s="1731"/>
    </row>
    <row r="123" spans="1:27" ht="18.75" customHeight="1">
      <c r="A123" s="3600" t="s">
        <v>1015</v>
      </c>
      <c r="B123" s="3600"/>
      <c r="C123" s="3600"/>
      <c r="D123" s="3612" t="str">
        <f ca="1">NUMBERSTRING(INT(D122*10000),2)&amp;"元整"</f>
        <v>壹拾亿捌仟伍佰伍拾伍万元整</v>
      </c>
      <c r="E123" s="3613"/>
      <c r="F123" s="3613"/>
      <c r="G123" s="3613"/>
      <c r="H123" s="3613"/>
      <c r="I123" s="3614"/>
      <c r="AA123" s="1731"/>
    </row>
    <row r="124" spans="1:27" ht="18.75" customHeight="1">
      <c r="A124" s="3644" t="str">
        <f>IF(项目基本情况!B9="房地产市场价值","",MID(E109,3,LEN(E109)-2))</f>
        <v/>
      </c>
      <c r="B124" s="3644"/>
      <c r="C124" s="3644"/>
      <c r="D124" s="3647" t="str">
        <f>H109</f>
        <v>——</v>
      </c>
      <c r="E124" s="3648"/>
      <c r="F124" s="3648"/>
      <c r="G124" s="3648"/>
      <c r="H124" s="3648"/>
      <c r="I124" s="3649"/>
      <c r="AA124" s="1731"/>
    </row>
    <row r="125" spans="1:27" ht="18.75" customHeight="1">
      <c r="A125" s="3600" t="s">
        <v>1015</v>
      </c>
      <c r="B125" s="3600"/>
      <c r="C125" s="3600"/>
      <c r="D125" s="3612" t="e">
        <f>NUMBERSTRING(INT(D124*10000),2)&amp;"元整"</f>
        <v>#VALUE!</v>
      </c>
      <c r="E125" s="3613"/>
      <c r="F125" s="3613"/>
      <c r="G125" s="3613"/>
      <c r="H125" s="3613"/>
      <c r="I125" s="3614"/>
      <c r="AA125" s="1731"/>
    </row>
    <row r="126" spans="1:27" ht="18.75" customHeight="1">
      <c r="A126" s="3644" t="str">
        <f>IF(项目基本情况!B9="房地产市场价值","",MID(E111,3,LEN(E111)-2))</f>
        <v/>
      </c>
      <c r="B126" s="3644"/>
      <c r="C126" s="3644"/>
      <c r="D126" s="3647" t="str">
        <f>H111</f>
        <v>——</v>
      </c>
      <c r="E126" s="3648"/>
      <c r="F126" s="3648"/>
      <c r="G126" s="3648"/>
      <c r="H126" s="3648"/>
      <c r="I126" s="3649"/>
      <c r="AA126" s="1731"/>
    </row>
    <row r="127" spans="1:27" ht="18.75" customHeight="1">
      <c r="A127" s="3600" t="s">
        <v>1015</v>
      </c>
      <c r="B127" s="3600"/>
      <c r="C127" s="3600"/>
      <c r="D127" s="3612" t="e">
        <f>NUMBERSTRING(INT(D126*10000),2)&amp;"元整"</f>
        <v>#VALUE!</v>
      </c>
      <c r="E127" s="3613"/>
      <c r="F127" s="3613"/>
      <c r="G127" s="3613"/>
      <c r="H127" s="3613"/>
      <c r="I127" s="3614"/>
      <c r="AA127" s="1731"/>
    </row>
    <row r="128" spans="1:27" ht="21.75" customHeight="1">
      <c r="A128" s="3599" t="s">
        <v>113</v>
      </c>
      <c r="B128" s="3599"/>
      <c r="C128" s="3599"/>
      <c r="D128" s="3599"/>
      <c r="E128" s="3599"/>
      <c r="F128" s="3599"/>
      <c r="G128" s="3599"/>
      <c r="H128" s="3599"/>
      <c r="I128" s="3599"/>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M44" sqref="M4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115053</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38988</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81837</v>
      </c>
      <c r="D5" s="387" t="s">
        <v>1031</v>
      </c>
      <c r="E5" s="388" t="s">
        <v>1032</v>
      </c>
      <c r="F5" s="388" t="s">
        <v>927</v>
      </c>
      <c r="G5" s="389"/>
    </row>
    <row r="6" spans="1:9" s="367" customFormat="1" ht="13.5" customHeight="1">
      <c r="A6" s="390" t="s">
        <v>1033</v>
      </c>
      <c r="B6" s="391" t="s">
        <v>1034</v>
      </c>
      <c r="C6" s="392">
        <f>'土地比较法-住宅、综合'!B2</f>
        <v>79415</v>
      </c>
      <c r="D6" s="393"/>
      <c r="E6" s="394"/>
      <c r="F6" s="394"/>
      <c r="G6" s="395"/>
    </row>
    <row r="7" spans="1:9" s="367" customFormat="1" ht="13.5" customHeight="1">
      <c r="A7" s="390" t="s">
        <v>1035</v>
      </c>
      <c r="B7" s="391" t="s">
        <v>1036</v>
      </c>
      <c r="C7" s="396">
        <f>ROUND(C6*F7,0)</f>
        <v>2422</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253</v>
      </c>
      <c r="D9" s="403">
        <f ca="1">IF(B1="",'数据-汇总表'!E5,IF(INDIRECT("'数据-取费表'!c"&amp;$G$1)="住宅",INDIRECT("'数据-取费表'!k"&amp;$G$1),0))</f>
        <v>15813.740000000045</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29509.480000000025</v>
      </c>
      <c r="E19" s="387">
        <f>'数据-取费表'!B31</f>
        <v>170</v>
      </c>
      <c r="F19" s="412"/>
      <c r="G19" s="2357" t="s">
        <v>1064</v>
      </c>
    </row>
    <row r="20" spans="1:7" s="367" customFormat="1" ht="13.5" customHeight="1">
      <c r="A20" s="385" t="s">
        <v>1065</v>
      </c>
      <c r="B20" s="386" t="s">
        <v>1066</v>
      </c>
      <c r="C20" s="413">
        <f>ROUND((C5+C19)*F20,0)</f>
        <v>1637</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419">
        <f ca="1">ROUND(SUM(C23:C25),0)</f>
        <v>3434</v>
      </c>
      <c r="D22" s="416">
        <f ca="1">C26</f>
        <v>4.0000000000000002E-4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3400</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34</v>
      </c>
      <c r="D25" s="423"/>
      <c r="E25" s="426"/>
      <c r="F25" s="424"/>
      <c r="G25" s="427" t="s">
        <v>1079</v>
      </c>
    </row>
    <row r="26" spans="1:7" s="367" customFormat="1">
      <c r="A26" s="421" t="s">
        <v>1080</v>
      </c>
      <c r="B26" s="391" t="s">
        <v>1081</v>
      </c>
      <c r="C26" s="423">
        <f ca="1">ROUND(IF('数据-取费表'!B22&lt;=1,F21*F22*'数据-取费表'!B23/2,F21*(POWER((1+F22),'数据-取费表'!B23/2)-1)),4)</f>
        <v>4.0000000000000002E-4</v>
      </c>
      <c r="D26" s="423"/>
      <c r="E26" s="426"/>
      <c r="F26" s="424"/>
      <c r="G26" s="428"/>
    </row>
    <row r="27" spans="1:7" s="367" customFormat="1" ht="24.75">
      <c r="A27" s="385" t="s">
        <v>1082</v>
      </c>
      <c r="B27" s="429" t="s">
        <v>1083</v>
      </c>
      <c r="C27" s="430">
        <f ca="1">C28</f>
        <v>6511</v>
      </c>
      <c r="D27" s="416">
        <f ca="1">C29</f>
        <v>1.6000000000000001E-3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6511</v>
      </c>
      <c r="D28" s="416"/>
      <c r="E28" s="417"/>
      <c r="F28" s="431"/>
      <c r="G28" s="432"/>
    </row>
    <row r="29" spans="1:7" s="367" customFormat="1" ht="13.5" customHeight="1">
      <c r="A29" s="421" t="s">
        <v>1035</v>
      </c>
      <c r="B29" s="433" t="s">
        <v>1086</v>
      </c>
      <c r="C29" s="423">
        <f ca="1">ROUND(C21*F27*'数据-取费表'!B21/'数据-取费表'!B20,4)</f>
        <v>1.6000000000000001E-3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100928</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11127</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9802</v>
      </c>
      <c r="D34" s="393"/>
      <c r="E34" s="396"/>
      <c r="F34" s="442">
        <f ca="1">IF('数据-取费表'!B24=0,1,IF(B1="",'数据-取费表'!N16,INDIRECT("'数据-取费表'!n"&amp;$G$1)))</f>
        <v>0.6</v>
      </c>
      <c r="G34" s="395" t="s">
        <v>1095</v>
      </c>
    </row>
    <row r="35" spans="1:7" ht="13.5" customHeight="1">
      <c r="A35" s="421" t="s">
        <v>1035</v>
      </c>
      <c r="B35" s="391" t="s">
        <v>1096</v>
      </c>
      <c r="C35" s="396">
        <f ca="1">ROUND(C34*F35,0)</f>
        <v>490</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285</v>
      </c>
      <c r="D36" s="396"/>
      <c r="E36" s="396"/>
      <c r="F36" s="443">
        <f>'数据-取费表'!B34</f>
        <v>0.05</v>
      </c>
      <c r="G36" s="444" t="s">
        <v>1099</v>
      </c>
    </row>
    <row r="37" spans="1:7" s="369" customFormat="1" ht="13.5" customHeight="1">
      <c r="A37" s="421" t="s">
        <v>1080</v>
      </c>
      <c r="B37" s="391" t="s">
        <v>1100</v>
      </c>
      <c r="C37" s="434">
        <f ca="1">ROUND(E37*D37*F34/10000,0)</f>
        <v>354</v>
      </c>
      <c r="D37" s="393">
        <f ca="1">D19</f>
        <v>29509.480000000025</v>
      </c>
      <c r="E37" s="434">
        <f>'数据-取费表'!B35</f>
        <v>200</v>
      </c>
      <c r="F37" s="443"/>
      <c r="G37" s="445" t="s">
        <v>1101</v>
      </c>
    </row>
    <row r="38" spans="1:7" ht="13.5" customHeight="1">
      <c r="A38" s="421" t="s">
        <v>1102</v>
      </c>
      <c r="B38" s="391" t="s">
        <v>963</v>
      </c>
      <c r="C38" s="396">
        <f ca="1">ROUND(C34*F38,0)</f>
        <v>196</v>
      </c>
      <c r="D38" s="396"/>
      <c r="E38" s="396"/>
      <c r="F38" s="443">
        <f>'数据-取费表'!B36</f>
        <v>0.02</v>
      </c>
      <c r="G38" s="395" t="s">
        <v>1097</v>
      </c>
    </row>
    <row r="39" spans="1:7" s="367" customFormat="1" ht="13.5" customHeight="1">
      <c r="A39" s="385" t="s">
        <v>1062</v>
      </c>
      <c r="B39" s="386" t="s">
        <v>1066</v>
      </c>
      <c r="C39" s="413">
        <f ca="1">ROUND(C33*F20,0)</f>
        <v>223</v>
      </c>
      <c r="D39" s="413"/>
      <c r="E39" s="413"/>
      <c r="F39" s="414">
        <f>F20</f>
        <v>0.02</v>
      </c>
      <c r="G39" s="418" t="s">
        <v>1103</v>
      </c>
    </row>
    <row r="40" spans="1:7" s="367" customFormat="1" ht="13.5" customHeight="1">
      <c r="A40" s="385" t="s">
        <v>1065</v>
      </c>
      <c r="B40" s="386" t="s">
        <v>1069</v>
      </c>
      <c r="C40" s="2360">
        <f>F21</f>
        <v>0.02</v>
      </c>
      <c r="D40" s="417" t="s">
        <v>1104</v>
      </c>
      <c r="E40" s="413"/>
      <c r="F40" s="414">
        <f>F21</f>
        <v>0.02</v>
      </c>
      <c r="G40" s="418" t="s">
        <v>1105</v>
      </c>
    </row>
    <row r="41" spans="1:7" s="367" customFormat="1" ht="13.5" customHeight="1">
      <c r="A41" s="385" t="s">
        <v>1068</v>
      </c>
      <c r="B41" s="386" t="s">
        <v>1073</v>
      </c>
      <c r="C41" s="413">
        <f ca="1">ROUND(SUM(C42:C43),0)</f>
        <v>234</v>
      </c>
      <c r="D41" s="416">
        <f ca="1">C44</f>
        <v>4.0000000000000002E-4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229</v>
      </c>
      <c r="D42" s="423"/>
      <c r="E42" s="423"/>
      <c r="F42" s="424"/>
      <c r="G42" s="3693" t="s">
        <v>1106</v>
      </c>
    </row>
    <row r="43" spans="1:7" ht="13.5" customHeight="1">
      <c r="A43" s="421" t="s">
        <v>1035</v>
      </c>
      <c r="B43" s="391" t="s">
        <v>1076</v>
      </c>
      <c r="C43" s="423">
        <f ca="1">ROUND(IF('数据-取费表'!B22&lt;=1,C39*F22*'数据-取费表'!B21/2,C39*(POWER((1+F22),'数据-取费表'!B21/2)-1)),0)</f>
        <v>5</v>
      </c>
      <c r="D43" s="423"/>
      <c r="E43" s="423"/>
      <c r="F43" s="424"/>
      <c r="G43" s="3694"/>
    </row>
    <row r="44" spans="1:7" ht="13.5" customHeight="1">
      <c r="A44" s="421" t="s">
        <v>1037</v>
      </c>
      <c r="B44" s="391" t="s">
        <v>1078</v>
      </c>
      <c r="C44" s="423">
        <f ca="1">ROUND(IF('数据-取费表'!B22&lt;=1,C40*F22*'数据-取费表'!B21/2,C40*(POWER((1+F22),'数据-取费表'!B21/2)-1)),4)</f>
        <v>4.0000000000000002E-4</v>
      </c>
      <c r="D44" s="423"/>
      <c r="E44" s="423"/>
      <c r="F44" s="424"/>
      <c r="G44" s="3695"/>
    </row>
    <row r="45" spans="1:7" s="367" customFormat="1" ht="13.5" customHeight="1">
      <c r="A45" s="385" t="s">
        <v>1072</v>
      </c>
      <c r="B45" s="429" t="s">
        <v>1083</v>
      </c>
      <c r="C45" s="430">
        <f ca="1">C46</f>
        <v>1476</v>
      </c>
      <c r="D45" s="416">
        <f ca="1">C47</f>
        <v>2.5999999999999999E-3</v>
      </c>
      <c r="E45" s="417" t="s">
        <v>1104</v>
      </c>
      <c r="F45" s="431">
        <f ca="1">F27</f>
        <v>0.13</v>
      </c>
      <c r="G45" s="432" t="s">
        <v>1107</v>
      </c>
    </row>
    <row r="46" spans="1:7" s="367" customFormat="1" ht="13.5" customHeight="1">
      <c r="A46" s="421" t="s">
        <v>1033</v>
      </c>
      <c r="B46" s="433" t="s">
        <v>1108</v>
      </c>
      <c r="C46" s="434">
        <f ca="1">ROUND((C33+C39)*F27,0)</f>
        <v>1476</v>
      </c>
      <c r="D46" s="447"/>
      <c r="E46" s="417"/>
      <c r="F46" s="431"/>
      <c r="G46" s="432"/>
    </row>
    <row r="47" spans="1:7" s="367" customFormat="1" ht="13.5" customHeight="1">
      <c r="A47" s="421" t="s">
        <v>1035</v>
      </c>
      <c r="B47" s="433" t="s">
        <v>1109</v>
      </c>
      <c r="C47" s="423">
        <f ca="1">ROUND(C40*F27,4)</f>
        <v>2.5999999999999999E-3</v>
      </c>
      <c r="D47" s="447"/>
      <c r="E47" s="417"/>
      <c r="F47" s="431"/>
      <c r="G47" s="432"/>
    </row>
    <row r="48" spans="1:7" s="367" customFormat="1" ht="13.5" customHeight="1">
      <c r="A48" s="385" t="s">
        <v>1082</v>
      </c>
      <c r="B48" s="386" t="s">
        <v>1088</v>
      </c>
      <c r="C48" s="2360">
        <f>ROUND(F30/(1+'数据-取费表'!C42),4)</f>
        <v>5.2400000000000002E-2</v>
      </c>
      <c r="D48" s="417" t="s">
        <v>1104</v>
      </c>
      <c r="E48" s="413"/>
      <c r="F48" s="420">
        <f>F30</f>
        <v>5.5E-2</v>
      </c>
      <c r="G48" s="418" t="s">
        <v>1110</v>
      </c>
    </row>
    <row r="49" spans="1:7" ht="16.5" customHeight="1">
      <c r="A49" s="385" t="s">
        <v>1087</v>
      </c>
      <c r="B49" s="386" t="s">
        <v>1111</v>
      </c>
      <c r="C49" s="413">
        <f ca="1">ROUND((C33+C39+C41+C45)/(1-C40-D41-D45-C48),0)</f>
        <v>14125</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14125</v>
      </c>
      <c r="D51" s="413"/>
      <c r="E51" s="413"/>
      <c r="F51" s="448"/>
      <c r="G51" s="418" t="s">
        <v>1118</v>
      </c>
    </row>
    <row r="52" spans="1:7" s="366" customFormat="1" ht="15.75">
      <c r="A52" s="449" t="s">
        <v>1119</v>
      </c>
      <c r="B52" s="450"/>
      <c r="C52" s="451">
        <f ca="1">C31+C51</f>
        <v>115053</v>
      </c>
      <c r="D52" s="450"/>
      <c r="E52" s="450"/>
      <c r="F52" s="450"/>
      <c r="G52" s="452"/>
    </row>
    <row r="55" spans="1:7" ht="15">
      <c r="B55" s="453" t="s">
        <v>1120</v>
      </c>
      <c r="C55" s="454"/>
    </row>
    <row r="56" spans="1:7">
      <c r="B56" s="455" t="s">
        <v>1121</v>
      </c>
      <c r="C56" s="457">
        <f ca="1">1-C57</f>
        <v>0.877</v>
      </c>
    </row>
    <row r="57" spans="1:7">
      <c r="B57" s="455" t="s">
        <v>1122</v>
      </c>
      <c r="C57" s="456">
        <f ca="1">ROUND(C51/C52,3)</f>
        <v>0.123</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25192.182100000002</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8537</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5269346</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5269346</v>
      </c>
      <c r="D8" s="398"/>
      <c r="E8" s="396"/>
      <c r="F8" s="397"/>
      <c r="G8" s="2357"/>
    </row>
    <row r="9" spans="1:8" s="367" customFormat="1" ht="13.5" customHeight="1">
      <c r="A9" s="400" t="s">
        <v>1040</v>
      </c>
      <c r="B9" s="401" t="s">
        <v>1041</v>
      </c>
      <c r="C9" s="402">
        <f ca="1">ROUND(D9*E9,0)</f>
        <v>2530198</v>
      </c>
      <c r="D9" s="403">
        <f ca="1">IF(B1="",'数据-汇总表'!E5,IF(INDIRECT("'数据-取费表'!c"&amp;$G$1)="住宅",INDIRECT("'数据-取费表'!k"&amp;$G$1),0))</f>
        <v>15813.740000000045</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5016612</v>
      </c>
      <c r="D19" s="411">
        <f ca="1">D9+D10</f>
        <v>29509.480000000025</v>
      </c>
      <c r="E19" s="387">
        <f>'数据-取费表'!B31</f>
        <v>170</v>
      </c>
      <c r="F19" s="412"/>
      <c r="G19" s="2357"/>
    </row>
    <row r="20" spans="1:7" s="367" customFormat="1" ht="13.5" customHeight="1">
      <c r="A20" s="385" t="s">
        <v>1065</v>
      </c>
      <c r="B20" s="386" t="s">
        <v>1066</v>
      </c>
      <c r="C20" s="413">
        <f ca="1">ROUND((C5+C19)*F20,0)</f>
        <v>205719</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2358">
        <f ca="1">ROUND(SUM(C23:C25),0)</f>
        <v>729071</v>
      </c>
      <c r="D22" s="416">
        <f ca="1">C26</f>
        <v>6.9999999999999999E-4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369857</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352117</v>
      </c>
      <c r="D24" s="423"/>
      <c r="E24" s="423"/>
      <c r="F24" s="424"/>
      <c r="G24" s="425" t="s">
        <v>1077</v>
      </c>
    </row>
    <row r="25" spans="1:7" s="367" customFormat="1" ht="24">
      <c r="A25" s="421" t="s">
        <v>1037</v>
      </c>
      <c r="B25" s="391" t="s">
        <v>1078</v>
      </c>
      <c r="C25" s="2359">
        <f ca="1">ROUND(IF('数据-取费表'!B22&lt;=1,C20*F22*'数据-取费表'!B22/2,C20*(POWER((1+F22),'数据-取费表'!B22/2)-1)),0)</f>
        <v>7097</v>
      </c>
      <c r="D25" s="423"/>
      <c r="E25" s="426"/>
      <c r="F25" s="424"/>
      <c r="G25" s="427" t="s">
        <v>1079</v>
      </c>
    </row>
    <row r="26" spans="1:7" s="367" customFormat="1">
      <c r="A26" s="421" t="s">
        <v>1080</v>
      </c>
      <c r="B26" s="391" t="s">
        <v>1081</v>
      </c>
      <c r="C26" s="423">
        <f ca="1">ROUND(IF('数据-取费表'!B22&lt;=1,F21*F22*'数据-取费表'!B22/2,F21*(POWER((1+F22),'数据-取费表'!B22/2)-1)),4)</f>
        <v>6.9999999999999999E-4</v>
      </c>
      <c r="D26" s="423"/>
      <c r="E26" s="426"/>
      <c r="F26" s="424"/>
      <c r="G26" s="428"/>
    </row>
    <row r="27" spans="1:7" s="367" customFormat="1" ht="24.75">
      <c r="A27" s="385" t="s">
        <v>1082</v>
      </c>
      <c r="B27" s="429" t="s">
        <v>1083</v>
      </c>
      <c r="C27" s="430">
        <f ca="1">C28</f>
        <v>1363918</v>
      </c>
      <c r="D27" s="416">
        <f ca="1">C29</f>
        <v>2.5999999999999999E-3</v>
      </c>
      <c r="E27" s="417" t="s">
        <v>1070</v>
      </c>
      <c r="F27" s="431">
        <f ca="1">IF(B1="",'数据-取费表'!Q16,INDIRECT("'数据-取费表'!q"&amp;$G$1))</f>
        <v>0.13</v>
      </c>
      <c r="G27" s="432" t="s">
        <v>1084</v>
      </c>
    </row>
    <row r="28" spans="1:7" s="367" customFormat="1" ht="13.5" customHeight="1">
      <c r="A28" s="421" t="s">
        <v>1033</v>
      </c>
      <c r="B28" s="433" t="s">
        <v>1085</v>
      </c>
      <c r="C28" s="434">
        <f ca="1">ROUND((C5+C19+C20)*F27,0)</f>
        <v>1363918</v>
      </c>
      <c r="D28" s="416"/>
      <c r="E28" s="417"/>
      <c r="F28" s="431"/>
      <c r="G28" s="432"/>
    </row>
    <row r="29" spans="1:7" s="367" customFormat="1" ht="13.5" customHeight="1">
      <c r="A29" s="421" t="s">
        <v>1035</v>
      </c>
      <c r="B29" s="433" t="s">
        <v>1086</v>
      </c>
      <c r="C29" s="423">
        <f ca="1">ROUND(C21*F27,4)</f>
        <v>2.5999999999999999E-3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13615348</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185442438</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163361140</v>
      </c>
      <c r="D34" s="393"/>
      <c r="E34" s="396"/>
      <c r="F34" s="442"/>
      <c r="G34" s="395"/>
    </row>
    <row r="35" spans="1:7" ht="13.5" customHeight="1">
      <c r="A35" s="421" t="s">
        <v>1035</v>
      </c>
      <c r="B35" s="391" t="s">
        <v>1096</v>
      </c>
      <c r="C35" s="396">
        <f ca="1">ROUND(C34*F35,0)</f>
        <v>8168057</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4744122</v>
      </c>
      <c r="D36" s="396"/>
      <c r="E36" s="396"/>
      <c r="F36" s="443">
        <f>'数据-取费表'!B34</f>
        <v>0.05</v>
      </c>
      <c r="G36" s="444" t="s">
        <v>1099</v>
      </c>
    </row>
    <row r="37" spans="1:7" s="369" customFormat="1" ht="13.5" customHeight="1">
      <c r="A37" s="421" t="s">
        <v>1080</v>
      </c>
      <c r="B37" s="391" t="s">
        <v>1100</v>
      </c>
      <c r="C37" s="434">
        <f ca="1">ROUND(E37*D37,0)</f>
        <v>5901896</v>
      </c>
      <c r="D37" s="393">
        <f ca="1">D19</f>
        <v>29509.480000000025</v>
      </c>
      <c r="E37" s="434">
        <f>'数据-取费表'!B35</f>
        <v>200</v>
      </c>
      <c r="F37" s="443"/>
      <c r="G37" s="445"/>
    </row>
    <row r="38" spans="1:7" ht="13.5" customHeight="1">
      <c r="A38" s="421" t="s">
        <v>1102</v>
      </c>
      <c r="B38" s="391" t="s">
        <v>963</v>
      </c>
      <c r="C38" s="396">
        <f ca="1">ROUND(C34*F38,0)</f>
        <v>3267223</v>
      </c>
      <c r="D38" s="396"/>
      <c r="E38" s="396"/>
      <c r="F38" s="443">
        <f>'数据-取费表'!B36</f>
        <v>0.02</v>
      </c>
      <c r="G38" s="395" t="s">
        <v>1097</v>
      </c>
    </row>
    <row r="39" spans="1:7" s="367" customFormat="1" ht="13.5" customHeight="1">
      <c r="A39" s="385" t="s">
        <v>1062</v>
      </c>
      <c r="B39" s="386" t="s">
        <v>1066</v>
      </c>
      <c r="C39" s="413">
        <f ca="1">ROUND(C33*F20,0)</f>
        <v>3708849</v>
      </c>
      <c r="D39" s="413"/>
      <c r="E39" s="413"/>
      <c r="F39" s="414">
        <f>F20</f>
        <v>0.02</v>
      </c>
      <c r="G39" s="418" t="s">
        <v>1103</v>
      </c>
    </row>
    <row r="40" spans="1:7" s="367" customFormat="1" ht="13.5" customHeight="1">
      <c r="A40" s="385" t="s">
        <v>1065</v>
      </c>
      <c r="B40" s="386" t="s">
        <v>1069</v>
      </c>
      <c r="C40" s="2360">
        <f>F21</f>
        <v>0.02</v>
      </c>
      <c r="D40" s="417" t="s">
        <v>1104</v>
      </c>
      <c r="E40" s="413"/>
      <c r="F40" s="414">
        <f>F21</f>
        <v>0.02</v>
      </c>
      <c r="G40" s="418" t="s">
        <v>1105</v>
      </c>
    </row>
    <row r="41" spans="1:7" s="367" customFormat="1" ht="13.5" customHeight="1">
      <c r="A41" s="385" t="s">
        <v>1068</v>
      </c>
      <c r="B41" s="386" t="s">
        <v>1073</v>
      </c>
      <c r="C41" s="413">
        <f ca="1">ROUND(SUM(C42:C43),0)</f>
        <v>6525719</v>
      </c>
      <c r="D41" s="416">
        <f ca="1">C44</f>
        <v>6.9999999999999999E-4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6397764</v>
      </c>
      <c r="D42" s="423"/>
      <c r="E42" s="423"/>
      <c r="F42" s="424"/>
      <c r="G42" s="3693" t="s">
        <v>1126</v>
      </c>
    </row>
    <row r="43" spans="1:7" ht="13.5" customHeight="1">
      <c r="A43" s="421" t="s">
        <v>1035</v>
      </c>
      <c r="B43" s="391" t="s">
        <v>1076</v>
      </c>
      <c r="C43" s="423">
        <f ca="1">ROUND(IF('数据-取费表'!B22&lt;=1,C39*F22*'数据-取费表'!B20/2,C39*(POWER((1+F22),'数据-取费表'!B20/2)-1)),0)</f>
        <v>127955</v>
      </c>
      <c r="D43" s="423"/>
      <c r="E43" s="423"/>
      <c r="F43" s="424"/>
      <c r="G43" s="3694"/>
    </row>
    <row r="44" spans="1:7" ht="13.5" customHeight="1">
      <c r="A44" s="421" t="s">
        <v>1037</v>
      </c>
      <c r="B44" s="391" t="s">
        <v>1078</v>
      </c>
      <c r="C44" s="423">
        <f ca="1">ROUND(IF('数据-取费表'!B22&lt;=1,C40*F22*'数据-取费表'!B20/2,C40*(POWER((1+F22),'数据-取费表'!B20/2)-1)),4)</f>
        <v>6.9999999999999999E-4</v>
      </c>
      <c r="D44" s="423"/>
      <c r="E44" s="423"/>
      <c r="F44" s="424"/>
      <c r="G44" s="3695"/>
    </row>
    <row r="45" spans="1:7" s="367" customFormat="1" ht="13.5" customHeight="1">
      <c r="A45" s="385" t="s">
        <v>1072</v>
      </c>
      <c r="B45" s="429" t="s">
        <v>1083</v>
      </c>
      <c r="C45" s="430">
        <f ca="1">C46</f>
        <v>24589667</v>
      </c>
      <c r="D45" s="416">
        <f ca="1">C47</f>
        <v>2.5999999999999999E-3</v>
      </c>
      <c r="E45" s="417" t="s">
        <v>1104</v>
      </c>
      <c r="F45" s="431">
        <f ca="1">F27</f>
        <v>0.13</v>
      </c>
      <c r="G45" s="432" t="s">
        <v>1107</v>
      </c>
    </row>
    <row r="46" spans="1:7" s="367" customFormat="1" ht="13.5" customHeight="1">
      <c r="A46" s="421" t="s">
        <v>1033</v>
      </c>
      <c r="B46" s="433" t="s">
        <v>1108</v>
      </c>
      <c r="C46" s="434">
        <f ca="1">ROUND((C33+C39)*F27,0)</f>
        <v>24589667</v>
      </c>
      <c r="D46" s="447"/>
      <c r="E46" s="417"/>
      <c r="F46" s="431"/>
      <c r="G46" s="432"/>
    </row>
    <row r="47" spans="1:7" s="367" customFormat="1" ht="13.5" customHeight="1">
      <c r="A47" s="421" t="s">
        <v>1035</v>
      </c>
      <c r="B47" s="433" t="s">
        <v>1109</v>
      </c>
      <c r="C47" s="423">
        <f ca="1">ROUND(C40*F27,4)</f>
        <v>2.5999999999999999E-3</v>
      </c>
      <c r="D47" s="447"/>
      <c r="E47" s="417"/>
      <c r="F47" s="431"/>
      <c r="G47" s="432"/>
    </row>
    <row r="48" spans="1:7" s="367" customFormat="1" ht="13.5" customHeight="1">
      <c r="A48" s="385" t="s">
        <v>1082</v>
      </c>
      <c r="B48" s="386" t="s">
        <v>1088</v>
      </c>
      <c r="C48" s="446">
        <f>ROUND(F30/(1+'数据-取费表'!C42),4)</f>
        <v>5.2400000000000002E-2</v>
      </c>
      <c r="D48" s="417" t="s">
        <v>1104</v>
      </c>
      <c r="E48" s="413"/>
      <c r="F48" s="420">
        <f>F30</f>
        <v>5.5E-2</v>
      </c>
      <c r="G48" s="418" t="s">
        <v>1110</v>
      </c>
    </row>
    <row r="49" spans="1:7" ht="16.5" customHeight="1">
      <c r="A49" s="385" t="s">
        <v>1087</v>
      </c>
      <c r="B49" s="386" t="s">
        <v>1127</v>
      </c>
      <c r="C49" s="413">
        <f ca="1">ROUND((C33+C39+C41+C45)/(1-C40-D41-D45-C48),0)</f>
        <v>238306473</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238306473</v>
      </c>
      <c r="D51" s="413"/>
      <c r="E51" s="413"/>
      <c r="F51" s="448"/>
      <c r="G51" s="418" t="s">
        <v>1118</v>
      </c>
    </row>
    <row r="52" spans="1:7" s="366" customFormat="1" ht="15.75">
      <c r="A52" s="449" t="s">
        <v>1119</v>
      </c>
      <c r="B52" s="450"/>
      <c r="C52" s="451">
        <f ca="1">C31+C51</f>
        <v>251921821</v>
      </c>
      <c r="D52" s="450"/>
      <c r="E52" s="450"/>
      <c r="F52" s="450"/>
      <c r="G52" s="452"/>
    </row>
    <row r="55" spans="1:7" ht="15">
      <c r="B55" s="453" t="s">
        <v>1120</v>
      </c>
      <c r="C55" s="454"/>
    </row>
    <row r="56" spans="1:7">
      <c r="B56" s="455" t="s">
        <v>1121</v>
      </c>
      <c r="C56" s="457">
        <f ca="1">1-C57</f>
        <v>5.4000000000000048E-2</v>
      </c>
    </row>
    <row r="57" spans="1:7">
      <c r="B57" s="455" t="s">
        <v>1122</v>
      </c>
      <c r="C57" s="456">
        <f ca="1">ROUND(C51/C52,3)</f>
        <v>0.94599999999999995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2" zoomScale="80" zoomScaleNormal="60" workbookViewId="0">
      <selection activeCell="N37" sqref="N37"/>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79415</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26912</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699" t="s">
        <v>1134</v>
      </c>
      <c r="D4" s="3732"/>
      <c r="E4" s="3733" t="s">
        <v>1135</v>
      </c>
      <c r="F4" s="3734"/>
      <c r="G4" s="3699" t="s">
        <v>1136</v>
      </c>
      <c r="H4" s="3732"/>
      <c r="I4" s="3699" t="s">
        <v>1137</v>
      </c>
      <c r="J4" s="3732"/>
      <c r="K4" s="1108" t="s">
        <v>1138</v>
      </c>
      <c r="L4" s="1109"/>
      <c r="M4" s="1110"/>
      <c r="N4" s="1110"/>
      <c r="O4" s="1110"/>
      <c r="P4" s="3703" t="s">
        <v>1139</v>
      </c>
      <c r="Q4" s="3704"/>
      <c r="R4" s="3709" t="s">
        <v>1135</v>
      </c>
      <c r="S4" s="3710"/>
      <c r="T4" s="3709" t="s">
        <v>1136</v>
      </c>
      <c r="U4" s="3710"/>
      <c r="V4" s="3715" t="s">
        <v>1137</v>
      </c>
      <c r="W4" s="3715"/>
      <c r="X4" s="1152"/>
      <c r="Y4" s="3709" t="s">
        <v>1139</v>
      </c>
      <c r="Z4" s="3710"/>
      <c r="AA4" s="3696" t="s">
        <v>1135</v>
      </c>
      <c r="AB4" s="3697" t="s">
        <v>1136</v>
      </c>
      <c r="AC4" s="3696" t="s">
        <v>1137</v>
      </c>
    </row>
    <row r="5" spans="1:30" ht="55.5" customHeight="1">
      <c r="A5" s="963"/>
      <c r="B5" s="964"/>
      <c r="C5" s="3735" t="s">
        <v>1140</v>
      </c>
      <c r="D5" s="3736"/>
      <c r="E5" s="3737" t="str">
        <f>土地案例!A3</f>
        <v>北京市朝阳区十八里店朝阳港一期土地一级开发项目1303-678地块R2二类居住用地</v>
      </c>
      <c r="F5" s="3738"/>
      <c r="G5" s="3735" t="str">
        <f>土地案例!A13</f>
        <v>北京市朝阳区十八里店朝阳港一期土地一级开发项目1303-685、694地块R2二类居住用地</v>
      </c>
      <c r="H5" s="3736"/>
      <c r="I5" s="3735" t="s">
        <v>2872</v>
      </c>
      <c r="J5" s="3736"/>
      <c r="K5" s="1108"/>
      <c r="L5" s="1109"/>
      <c r="M5" s="1110"/>
      <c r="N5" s="1110"/>
      <c r="O5" s="1110"/>
      <c r="P5" s="3705"/>
      <c r="Q5" s="3706"/>
      <c r="R5" s="3711"/>
      <c r="S5" s="3712"/>
      <c r="T5" s="3711"/>
      <c r="U5" s="3712"/>
      <c r="V5" s="3715"/>
      <c r="W5" s="3715"/>
      <c r="X5" s="1152"/>
      <c r="Y5" s="3711"/>
      <c r="Z5" s="3712"/>
      <c r="AA5" s="3697"/>
      <c r="AB5" s="3697"/>
      <c r="AC5" s="3697"/>
    </row>
    <row r="6" spans="1:30" ht="15">
      <c r="A6" s="965"/>
      <c r="B6" s="966"/>
      <c r="C6" s="3726" t="s">
        <v>1144</v>
      </c>
      <c r="D6" s="3727"/>
      <c r="E6" s="3728" t="s">
        <v>1144</v>
      </c>
      <c r="F6" s="3729"/>
      <c r="G6" s="3726" t="s">
        <v>1144</v>
      </c>
      <c r="H6" s="3727"/>
      <c r="I6" s="3730" t="s">
        <v>1145</v>
      </c>
      <c r="J6" s="3727"/>
      <c r="K6" s="1108" t="s">
        <v>1146</v>
      </c>
      <c r="L6" s="1109"/>
      <c r="M6" s="1110"/>
      <c r="N6" s="1110"/>
      <c r="O6" s="1110"/>
      <c r="P6" s="3707"/>
      <c r="Q6" s="3708"/>
      <c r="R6" s="3711"/>
      <c r="S6" s="3712"/>
      <c r="T6" s="3713"/>
      <c r="U6" s="3714"/>
      <c r="V6" s="3715"/>
      <c r="W6" s="3715"/>
      <c r="X6" s="1152"/>
      <c r="Y6" s="3713"/>
      <c r="Z6" s="3714"/>
      <c r="AA6" s="3698"/>
      <c r="AB6" s="3698"/>
      <c r="AC6" s="3698"/>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720" t="s">
        <v>1148</v>
      </c>
      <c r="Q7" s="3731"/>
      <c r="R7" s="1153" t="s">
        <v>1149</v>
      </c>
      <c r="S7" s="1154">
        <f t="shared" ref="S7:S15" si="0">F7</f>
        <v>99.399999999999991</v>
      </c>
      <c r="T7" s="1153" t="s">
        <v>1149</v>
      </c>
      <c r="U7" s="1154">
        <f t="shared" ref="U7:U15" si="1">H7</f>
        <v>98.399999999999977</v>
      </c>
      <c r="V7" s="1153" t="s">
        <v>1149</v>
      </c>
      <c r="W7" s="1154">
        <f t="shared" ref="W7:W15" si="2">J7</f>
        <v>98.199999999999974</v>
      </c>
      <c r="X7" s="1155"/>
      <c r="Y7" s="3720" t="s">
        <v>1148</v>
      </c>
      <c r="Z7" s="3721"/>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20" t="s">
        <v>1152</v>
      </c>
      <c r="Q8" s="3721"/>
      <c r="R8" s="1153" t="s">
        <v>1149</v>
      </c>
      <c r="S8" s="1154">
        <f t="shared" si="0"/>
        <v>100</v>
      </c>
      <c r="T8" s="1153" t="s">
        <v>1149</v>
      </c>
      <c r="U8" s="1154">
        <f t="shared" si="1"/>
        <v>100</v>
      </c>
      <c r="V8" s="1153" t="s">
        <v>1149</v>
      </c>
      <c r="W8" s="1154">
        <f t="shared" si="2"/>
        <v>100</v>
      </c>
      <c r="X8" s="1155"/>
      <c r="Y8" s="3720" t="s">
        <v>1152</v>
      </c>
      <c r="Z8" s="3721"/>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02" t="s">
        <v>1155</v>
      </c>
      <c r="Q9" s="1157" t="str">
        <f t="shared" ref="Q9:Q15" si="6">B9</f>
        <v>用途</v>
      </c>
      <c r="R9" s="1153" t="s">
        <v>1149</v>
      </c>
      <c r="S9" s="1154">
        <f t="shared" si="0"/>
        <v>100</v>
      </c>
      <c r="T9" s="1153" t="s">
        <v>1149</v>
      </c>
      <c r="U9" s="1154">
        <f t="shared" si="1"/>
        <v>100</v>
      </c>
      <c r="V9" s="1153" t="s">
        <v>1149</v>
      </c>
      <c r="W9" s="1154">
        <f t="shared" si="2"/>
        <v>100</v>
      </c>
      <c r="X9" s="1155"/>
      <c r="Y9" s="3608"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02"/>
      <c r="Q10" s="1157" t="str">
        <f t="shared" si="6"/>
        <v>土地使用年限（年）</v>
      </c>
      <c r="R10" s="1153" t="s">
        <v>1149</v>
      </c>
      <c r="S10" s="1154">
        <f t="shared" si="0"/>
        <v>101</v>
      </c>
      <c r="T10" s="1153" t="s">
        <v>1149</v>
      </c>
      <c r="U10" s="1154">
        <f t="shared" si="1"/>
        <v>101</v>
      </c>
      <c r="V10" s="1153" t="s">
        <v>1149</v>
      </c>
      <c r="W10" s="1154">
        <f t="shared" si="2"/>
        <v>101</v>
      </c>
      <c r="X10" s="1155"/>
      <c r="Y10" s="3608"/>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8</v>
      </c>
      <c r="L11" s="1120"/>
      <c r="M11" s="1110"/>
      <c r="N11" s="1110"/>
      <c r="O11" s="1121"/>
      <c r="P11" s="3702"/>
      <c r="Q11" s="1157" t="str">
        <f t="shared" si="6"/>
        <v>容积率</v>
      </c>
      <c r="R11" s="1153" t="s">
        <v>1149</v>
      </c>
      <c r="S11" s="1154">
        <f t="shared" si="0"/>
        <v>100</v>
      </c>
      <c r="T11" s="1153" t="s">
        <v>1149</v>
      </c>
      <c r="U11" s="1154">
        <f t="shared" si="1"/>
        <v>100</v>
      </c>
      <c r="V11" s="1153" t="s">
        <v>1149</v>
      </c>
      <c r="W11" s="1154">
        <f t="shared" si="2"/>
        <v>100</v>
      </c>
      <c r="X11" s="1155"/>
      <c r="Y11" s="3608"/>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02"/>
      <c r="Q12" s="1157" t="str">
        <f t="shared" si="6"/>
        <v>自持</v>
      </c>
      <c r="R12" s="1153" t="s">
        <v>1149</v>
      </c>
      <c r="S12" s="1154">
        <f t="shared" si="0"/>
        <v>100</v>
      </c>
      <c r="T12" s="1153" t="s">
        <v>1149</v>
      </c>
      <c r="U12" s="1154">
        <f t="shared" si="1"/>
        <v>100</v>
      </c>
      <c r="V12" s="1153" t="s">
        <v>1149</v>
      </c>
      <c r="W12" s="1154">
        <f t="shared" si="2"/>
        <v>100</v>
      </c>
      <c r="X12" s="1155"/>
      <c r="Y12" s="3608"/>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02"/>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02"/>
      <c r="Q14" s="1157">
        <f t="shared" si="6"/>
        <v>111</v>
      </c>
      <c r="R14" s="1153" t="s">
        <v>1149</v>
      </c>
      <c r="S14" s="1154">
        <f t="shared" si="0"/>
        <v>100</v>
      </c>
      <c r="T14" s="1153" t="s">
        <v>1149</v>
      </c>
      <c r="U14" s="1154">
        <f t="shared" si="1"/>
        <v>100</v>
      </c>
      <c r="V14" s="1153" t="s">
        <v>1149</v>
      </c>
      <c r="W14" s="1154">
        <f t="shared" si="2"/>
        <v>100</v>
      </c>
      <c r="X14" s="1155"/>
      <c r="Y14" s="3608"/>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2</v>
      </c>
      <c r="L15" s="1122"/>
      <c r="M15" s="1110"/>
      <c r="N15" s="1110"/>
      <c r="O15" s="1121"/>
      <c r="P15" s="3722" t="s">
        <v>1162</v>
      </c>
      <c r="Q15" s="663" t="str">
        <f t="shared" si="6"/>
        <v>居住社区成熟度</v>
      </c>
      <c r="R15" s="1158" t="s">
        <v>1149</v>
      </c>
      <c r="S15" s="1159">
        <f t="shared" si="0"/>
        <v>100</v>
      </c>
      <c r="T15" s="1158" t="s">
        <v>1149</v>
      </c>
      <c r="U15" s="1159">
        <f t="shared" si="1"/>
        <v>100</v>
      </c>
      <c r="V15" s="1158" t="s">
        <v>1149</v>
      </c>
      <c r="W15" s="1159">
        <f t="shared" si="2"/>
        <v>100</v>
      </c>
      <c r="X15" s="1152"/>
      <c r="Y15" s="3722"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23"/>
      <c r="Q16" s="663"/>
      <c r="R16" s="1158"/>
      <c r="S16" s="1159"/>
      <c r="T16" s="1158"/>
      <c r="U16" s="1159"/>
      <c r="V16" s="1158"/>
      <c r="W16" s="1159"/>
      <c r="X16" s="1152"/>
      <c r="Y16" s="3723"/>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23"/>
      <c r="Q17" s="663" t="str">
        <f>B17</f>
        <v>商业繁华度</v>
      </c>
      <c r="R17" s="1158" t="s">
        <v>1149</v>
      </c>
      <c r="S17" s="1159">
        <f>F17</f>
        <v>100</v>
      </c>
      <c r="T17" s="1158" t="s">
        <v>1149</v>
      </c>
      <c r="U17" s="1159">
        <f>H17</f>
        <v>100</v>
      </c>
      <c r="V17" s="1158" t="s">
        <v>1149</v>
      </c>
      <c r="W17" s="1159">
        <f>J17</f>
        <v>100</v>
      </c>
      <c r="X17" s="1152"/>
      <c r="Y17" s="3723"/>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23"/>
      <c r="Q18" s="663"/>
      <c r="R18" s="1158"/>
      <c r="S18" s="1159"/>
      <c r="T18" s="1158"/>
      <c r="U18" s="1159"/>
      <c r="V18" s="1158"/>
      <c r="W18" s="1159"/>
      <c r="X18" s="1152"/>
      <c r="Y18" s="3723"/>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23"/>
      <c r="Q19" s="663" t="str">
        <f>B19</f>
        <v>办公集聚程度</v>
      </c>
      <c r="R19" s="1158" t="s">
        <v>1149</v>
      </c>
      <c r="S19" s="1159">
        <f>F19</f>
        <v>100</v>
      </c>
      <c r="T19" s="1158" t="s">
        <v>1149</v>
      </c>
      <c r="U19" s="1159">
        <f>H19</f>
        <v>100</v>
      </c>
      <c r="V19" s="1158" t="s">
        <v>1149</v>
      </c>
      <c r="W19" s="1159">
        <f>J19</f>
        <v>100</v>
      </c>
      <c r="X19" s="1152"/>
      <c r="Y19" s="3723"/>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23"/>
      <c r="Q20" s="663"/>
      <c r="R20" s="1158"/>
      <c r="S20" s="1159"/>
      <c r="T20" s="1158"/>
      <c r="U20" s="1159"/>
      <c r="V20" s="1158"/>
      <c r="W20" s="1159"/>
      <c r="X20" s="1152"/>
      <c r="Y20" s="3723"/>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23"/>
      <c r="Q21" s="663" t="str">
        <f>B21</f>
        <v>交通便捷度</v>
      </c>
      <c r="R21" s="1158" t="s">
        <v>1149</v>
      </c>
      <c r="S21" s="1159">
        <f>F21</f>
        <v>102</v>
      </c>
      <c r="T21" s="1158" t="s">
        <v>1149</v>
      </c>
      <c r="U21" s="1159">
        <f>H21</f>
        <v>102</v>
      </c>
      <c r="V21" s="1158" t="s">
        <v>1149</v>
      </c>
      <c r="W21" s="1159">
        <f>J21</f>
        <v>102</v>
      </c>
      <c r="X21" s="1152"/>
      <c r="Y21" s="3723"/>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23"/>
      <c r="Q22" s="663"/>
      <c r="R22" s="1158"/>
      <c r="S22" s="1159"/>
      <c r="T22" s="1158"/>
      <c r="U22" s="1159"/>
      <c r="V22" s="1158"/>
      <c r="W22" s="1159"/>
      <c r="X22" s="1152"/>
      <c r="Y22" s="3723"/>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23"/>
      <c r="Q23" s="663" t="str">
        <f t="shared" ref="Q23:Q38" si="8">B23</f>
        <v>区域土地利用方向</v>
      </c>
      <c r="R23" s="1158" t="s">
        <v>1149</v>
      </c>
      <c r="S23" s="1159">
        <f>F23</f>
        <v>100</v>
      </c>
      <c r="T23" s="1158" t="s">
        <v>1149</v>
      </c>
      <c r="U23" s="1159">
        <f>H23</f>
        <v>100</v>
      </c>
      <c r="V23" s="1158" t="s">
        <v>1149</v>
      </c>
      <c r="W23" s="1159">
        <f>J23</f>
        <v>100</v>
      </c>
      <c r="X23" s="1152"/>
      <c r="Y23" s="3723"/>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23"/>
      <c r="Q24" s="663"/>
      <c r="R24" s="1158"/>
      <c r="S24" s="1159"/>
      <c r="T24" s="1158"/>
      <c r="U24" s="1159"/>
      <c r="V24" s="1158"/>
      <c r="W24" s="1159"/>
      <c r="X24" s="1152"/>
      <c r="Y24" s="3723"/>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23"/>
      <c r="Q25" s="663" t="str">
        <f t="shared" si="8"/>
        <v>自然及人文环境状况</v>
      </c>
      <c r="R25" s="1158" t="s">
        <v>1149</v>
      </c>
      <c r="S25" s="1159">
        <f>F25</f>
        <v>100</v>
      </c>
      <c r="T25" s="1158" t="s">
        <v>1149</v>
      </c>
      <c r="U25" s="1159">
        <f>H25</f>
        <v>100</v>
      </c>
      <c r="V25" s="1158" t="s">
        <v>1149</v>
      </c>
      <c r="W25" s="1159">
        <f>J25</f>
        <v>100</v>
      </c>
      <c r="X25" s="1152"/>
      <c r="Y25" s="3723"/>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23"/>
      <c r="Q26" s="663"/>
      <c r="R26" s="1158"/>
      <c r="S26" s="1159"/>
      <c r="T26" s="1158"/>
      <c r="U26" s="1159"/>
      <c r="V26" s="1158"/>
      <c r="W26" s="1159"/>
      <c r="X26" s="1152"/>
      <c r="Y26" s="3723"/>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23"/>
      <c r="Q27" s="1157" t="str">
        <f t="shared" si="8"/>
        <v>公共配套设施</v>
      </c>
      <c r="R27" s="1153" t="s">
        <v>1149</v>
      </c>
      <c r="S27" s="1154">
        <f>F27</f>
        <v>100</v>
      </c>
      <c r="T27" s="1153" t="s">
        <v>1149</v>
      </c>
      <c r="U27" s="1154">
        <f>H27</f>
        <v>100</v>
      </c>
      <c r="V27" s="1153" t="s">
        <v>1149</v>
      </c>
      <c r="W27" s="1154">
        <f>J27</f>
        <v>100</v>
      </c>
      <c r="X27" s="1155"/>
      <c r="Y27" s="3723"/>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23"/>
      <c r="Q28" s="1157"/>
      <c r="R28" s="1153"/>
      <c r="S28" s="1154"/>
      <c r="T28" s="1153"/>
      <c r="U28" s="1154"/>
      <c r="V28" s="1153"/>
      <c r="W28" s="1154"/>
      <c r="X28" s="1155"/>
      <c r="Y28" s="3723"/>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23"/>
      <c r="Q29" s="1157" t="str">
        <f t="shared" ref="Q29" si="9">B29</f>
        <v>基础设施水平</v>
      </c>
      <c r="R29" s="1153" t="s">
        <v>1149</v>
      </c>
      <c r="S29" s="1154">
        <f>F29</f>
        <v>100</v>
      </c>
      <c r="T29" s="1153" t="s">
        <v>1149</v>
      </c>
      <c r="U29" s="1154">
        <f>H29</f>
        <v>100</v>
      </c>
      <c r="V29" s="1153" t="s">
        <v>1149</v>
      </c>
      <c r="W29" s="1154">
        <f>J29</f>
        <v>100</v>
      </c>
      <c r="X29" s="1155"/>
      <c r="Y29" s="3723"/>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23"/>
      <c r="Q30" s="1157"/>
      <c r="R30" s="1153"/>
      <c r="S30" s="1154"/>
      <c r="T30" s="1153"/>
      <c r="U30" s="1154"/>
      <c r="V30" s="1153"/>
      <c r="W30" s="1154"/>
      <c r="X30" s="1155"/>
      <c r="Y30" s="3723"/>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23"/>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23"/>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23"/>
      <c r="Q32" s="663" t="str">
        <f t="shared" si="8"/>
        <v>毗邻道路的类型与等级</v>
      </c>
      <c r="R32" s="1158" t="s">
        <v>1149</v>
      </c>
      <c r="S32" s="1159">
        <f t="shared" si="10"/>
        <v>100</v>
      </c>
      <c r="T32" s="1158" t="s">
        <v>1149</v>
      </c>
      <c r="U32" s="1159">
        <f t="shared" si="11"/>
        <v>100</v>
      </c>
      <c r="V32" s="1158" t="s">
        <v>1149</v>
      </c>
      <c r="W32" s="1159">
        <f t="shared" si="12"/>
        <v>100</v>
      </c>
      <c r="X32" s="1152"/>
      <c r="Y32" s="3723"/>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23"/>
      <c r="Q33" s="663"/>
      <c r="R33" s="1158"/>
      <c r="S33" s="1159"/>
      <c r="T33" s="1158"/>
      <c r="U33" s="1159"/>
      <c r="V33" s="1158"/>
      <c r="W33" s="1159"/>
      <c r="X33" s="1152"/>
      <c r="Y33" s="3723"/>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23"/>
      <c r="Q34" s="663" t="str">
        <f t="shared" si="8"/>
        <v>土地级别</v>
      </c>
      <c r="R34" s="1158" t="s">
        <v>1149</v>
      </c>
      <c r="S34" s="1159">
        <f t="shared" si="10"/>
        <v>100</v>
      </c>
      <c r="T34" s="1158" t="s">
        <v>1149</v>
      </c>
      <c r="U34" s="1159">
        <f t="shared" si="11"/>
        <v>100</v>
      </c>
      <c r="V34" s="1158" t="s">
        <v>1149</v>
      </c>
      <c r="W34" s="1159">
        <f t="shared" si="12"/>
        <v>100</v>
      </c>
      <c r="X34" s="1152"/>
      <c r="Y34" s="3723"/>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23"/>
      <c r="Q35" s="663">
        <f t="shared" si="8"/>
        <v>111</v>
      </c>
      <c r="R35" s="1158" t="s">
        <v>1149</v>
      </c>
      <c r="S35" s="1159">
        <f t="shared" si="10"/>
        <v>100</v>
      </c>
      <c r="T35" s="1158" t="s">
        <v>1149</v>
      </c>
      <c r="U35" s="1159">
        <f t="shared" si="11"/>
        <v>100</v>
      </c>
      <c r="V35" s="1158" t="s">
        <v>1149</v>
      </c>
      <c r="W35" s="1159">
        <f t="shared" si="12"/>
        <v>100</v>
      </c>
      <c r="X35" s="1152"/>
      <c r="Y35" s="3723"/>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24" t="s">
        <v>1175</v>
      </c>
      <c r="Q36" s="663">
        <f t="shared" si="8"/>
        <v>111</v>
      </c>
      <c r="R36" s="1158" t="s">
        <v>1149</v>
      </c>
      <c r="S36" s="1159">
        <f t="shared" si="10"/>
        <v>100</v>
      </c>
      <c r="T36" s="1158" t="s">
        <v>1149</v>
      </c>
      <c r="U36" s="1159">
        <f t="shared" si="11"/>
        <v>100</v>
      </c>
      <c r="V36" s="1158" t="s">
        <v>1149</v>
      </c>
      <c r="W36" s="1159">
        <f t="shared" si="12"/>
        <v>100</v>
      </c>
      <c r="X36" s="1152"/>
      <c r="Y36" s="3725"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25"/>
      <c r="Q37" s="663">
        <f t="shared" si="8"/>
        <v>111</v>
      </c>
      <c r="R37" s="1160" t="s">
        <v>1149</v>
      </c>
      <c r="S37" s="1161">
        <f t="shared" si="10"/>
        <v>100</v>
      </c>
      <c r="T37" s="1160" t="s">
        <v>1149</v>
      </c>
      <c r="U37" s="1161">
        <f t="shared" si="11"/>
        <v>100</v>
      </c>
      <c r="V37" s="1160" t="s">
        <v>1149</v>
      </c>
      <c r="W37" s="1161">
        <f t="shared" si="12"/>
        <v>100</v>
      </c>
      <c r="X37" s="1162"/>
      <c r="Y37" s="3725"/>
      <c r="Z37" s="1170">
        <f t="shared" si="13"/>
        <v>111</v>
      </c>
      <c r="AA37" s="1169">
        <f t="shared" si="3"/>
        <v>1</v>
      </c>
      <c r="AB37" s="1169">
        <f t="shared" si="4"/>
        <v>1</v>
      </c>
      <c r="AC37" s="1169">
        <f t="shared" si="5"/>
        <v>1</v>
      </c>
    </row>
    <row r="38" spans="1:29" ht="15">
      <c r="A38" s="1034" t="s">
        <v>1176</v>
      </c>
      <c r="B38" s="1031" t="s">
        <v>1177</v>
      </c>
      <c r="C38" s="1032">
        <f>'数据-基础表'!A3</f>
        <v>7912.64</v>
      </c>
      <c r="D38" s="1033">
        <v>100</v>
      </c>
      <c r="E38" s="1032">
        <f>土地案例!I8</f>
        <v>12060.05</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25"/>
      <c r="Q38" s="663" t="str">
        <f t="shared" si="8"/>
        <v>宗地面积</v>
      </c>
      <c r="R38" s="1158" t="s">
        <v>1149</v>
      </c>
      <c r="S38" s="1159">
        <f t="shared" si="10"/>
        <v>100</v>
      </c>
      <c r="T38" s="1158" t="s">
        <v>1149</v>
      </c>
      <c r="U38" s="1159">
        <f t="shared" si="11"/>
        <v>100</v>
      </c>
      <c r="V38" s="1158" t="s">
        <v>1149</v>
      </c>
      <c r="W38" s="1159">
        <f t="shared" si="12"/>
        <v>100</v>
      </c>
      <c r="X38" s="1152"/>
      <c r="Y38" s="3725"/>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25"/>
      <c r="Q39" s="663" t="str">
        <f t="shared" ref="Q39:Q45" si="14">B39</f>
        <v>宗地形状</v>
      </c>
      <c r="R39" s="1158" t="s">
        <v>1149</v>
      </c>
      <c r="S39" s="1159">
        <f t="shared" si="10"/>
        <v>98</v>
      </c>
      <c r="T39" s="1158" t="s">
        <v>1149</v>
      </c>
      <c r="U39" s="1159">
        <f t="shared" si="11"/>
        <v>98</v>
      </c>
      <c r="V39" s="1158" t="s">
        <v>1149</v>
      </c>
      <c r="W39" s="1159">
        <f t="shared" si="12"/>
        <v>98</v>
      </c>
      <c r="X39" s="1152"/>
      <c r="Y39" s="3725"/>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25"/>
      <c r="Q40" s="663" t="str">
        <f t="shared" si="14"/>
        <v>临街宽度及深度</v>
      </c>
      <c r="R40" s="1158" t="s">
        <v>1149</v>
      </c>
      <c r="S40" s="1159">
        <f t="shared" si="10"/>
        <v>100</v>
      </c>
      <c r="T40" s="1158" t="s">
        <v>1149</v>
      </c>
      <c r="U40" s="1159">
        <f t="shared" si="11"/>
        <v>100</v>
      </c>
      <c r="V40" s="1158" t="s">
        <v>1149</v>
      </c>
      <c r="W40" s="1159">
        <f t="shared" si="12"/>
        <v>100</v>
      </c>
      <c r="X40" s="1152"/>
      <c r="Y40" s="3725"/>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25"/>
      <c r="Q41" s="663" t="str">
        <f t="shared" si="14"/>
        <v>宗地开发程度</v>
      </c>
      <c r="R41" s="1153" t="s">
        <v>1149</v>
      </c>
      <c r="S41" s="1154">
        <f t="shared" si="10"/>
        <v>99</v>
      </c>
      <c r="T41" s="1153" t="s">
        <v>1149</v>
      </c>
      <c r="U41" s="1154">
        <f t="shared" si="11"/>
        <v>99</v>
      </c>
      <c r="V41" s="1153" t="s">
        <v>1149</v>
      </c>
      <c r="W41" s="1154">
        <f t="shared" si="12"/>
        <v>99</v>
      </c>
      <c r="X41" s="1155"/>
      <c r="Y41" s="3725"/>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25" t="s">
        <v>1175</v>
      </c>
      <c r="Q42" s="663" t="str">
        <f t="shared" si="14"/>
        <v>工程地质条件</v>
      </c>
      <c r="R42" s="1158" t="s">
        <v>1149</v>
      </c>
      <c r="S42" s="1159">
        <f t="shared" si="10"/>
        <v>100</v>
      </c>
      <c r="T42" s="1158" t="s">
        <v>1149</v>
      </c>
      <c r="U42" s="1159">
        <f t="shared" si="11"/>
        <v>100</v>
      </c>
      <c r="V42" s="1158" t="s">
        <v>1149</v>
      </c>
      <c r="W42" s="1159">
        <f t="shared" si="12"/>
        <v>100</v>
      </c>
      <c r="X42" s="1152"/>
      <c r="Y42" s="3725"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25"/>
      <c r="Q43" s="663">
        <f t="shared" si="14"/>
        <v>111</v>
      </c>
      <c r="R43" s="1158" t="s">
        <v>1149</v>
      </c>
      <c r="S43" s="1159">
        <f t="shared" si="10"/>
        <v>100</v>
      </c>
      <c r="T43" s="1158" t="s">
        <v>1149</v>
      </c>
      <c r="U43" s="1159">
        <f t="shared" si="11"/>
        <v>100</v>
      </c>
      <c r="V43" s="1158" t="s">
        <v>1149</v>
      </c>
      <c r="W43" s="1159">
        <f t="shared" si="12"/>
        <v>100</v>
      </c>
      <c r="X43" s="1152"/>
      <c r="Y43" s="3725"/>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25"/>
      <c r="Q44" s="663">
        <f t="shared" si="14"/>
        <v>111</v>
      </c>
      <c r="R44" s="1158" t="s">
        <v>1149</v>
      </c>
      <c r="S44" s="1159">
        <f t="shared" si="10"/>
        <v>100</v>
      </c>
      <c r="T44" s="1158" t="s">
        <v>1149</v>
      </c>
      <c r="U44" s="1159">
        <f t="shared" si="11"/>
        <v>100</v>
      </c>
      <c r="V44" s="1158" t="s">
        <v>1149</v>
      </c>
      <c r="W44" s="1159">
        <f t="shared" si="12"/>
        <v>100</v>
      </c>
      <c r="X44" s="1152"/>
      <c r="Y44" s="3725"/>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25"/>
      <c r="Q45" s="663">
        <f t="shared" si="14"/>
        <v>111</v>
      </c>
      <c r="R45" s="1160" t="s">
        <v>1149</v>
      </c>
      <c r="S45" s="1161">
        <f t="shared" si="10"/>
        <v>100</v>
      </c>
      <c r="T45" s="1160" t="s">
        <v>1149</v>
      </c>
      <c r="U45" s="1161">
        <f t="shared" si="11"/>
        <v>100</v>
      </c>
      <c r="V45" s="1160" t="s">
        <v>1149</v>
      </c>
      <c r="W45" s="1161">
        <f t="shared" si="12"/>
        <v>100</v>
      </c>
      <c r="X45" s="1162"/>
      <c r="Y45" s="3725"/>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02" t="str">
        <f>A46</f>
        <v>成交单价</v>
      </c>
      <c r="Q46" s="3702"/>
      <c r="R46" s="3715">
        <f>E46</f>
        <v>51858</v>
      </c>
      <c r="S46" s="3715"/>
      <c r="T46" s="3715">
        <f>G46</f>
        <v>44982</v>
      </c>
      <c r="U46" s="3715"/>
      <c r="V46" s="3715">
        <f>I46</f>
        <v>46026</v>
      </c>
      <c r="W46" s="3715"/>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02" t="str">
        <f>A47</f>
        <v>比较价值（元/平方米）</v>
      </c>
      <c r="Q47" s="3702"/>
      <c r="R47" s="3716">
        <f>ROUND(PRODUCT(R46,AA7:AA45),0)</f>
        <v>52197</v>
      </c>
      <c r="S47" s="3716"/>
      <c r="T47" s="3716">
        <f>ROUND(PRODUCT(T46,AB7:AB45),0)</f>
        <v>45736</v>
      </c>
      <c r="U47" s="3716"/>
      <c r="V47" s="3716">
        <f>ROUND(PRODUCT(V46,AC7:AC45),0)</f>
        <v>46893</v>
      </c>
      <c r="W47" s="3716"/>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17" t="str">
        <f>A48</f>
        <v>估价对象XX用房的比较价值（楼面单价，元/平方米）</v>
      </c>
      <c r="Q48" s="3718"/>
      <c r="R48" s="3719">
        <f>ROUND(IF(D47="简单平均",AVERAGE(R47:W47),R47*F47+T47*H47+V47*J47),0)</f>
        <v>48275</v>
      </c>
      <c r="S48" s="3719"/>
      <c r="T48" s="3719"/>
      <c r="U48" s="3719"/>
      <c r="V48" s="3719"/>
      <c r="W48" s="3719"/>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699" t="s">
        <v>1198</v>
      </c>
      <c r="H55" s="3700"/>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15813.740000000045</v>
      </c>
      <c r="F56" s="2334">
        <f t="shared" ref="F56:F64" si="15">ROUND(B56*E56/10000,0)</f>
        <v>76341</v>
      </c>
      <c r="G56" s="3701"/>
      <c r="H56" s="3702"/>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4931.279999999997</v>
      </c>
      <c r="F61" s="2334">
        <f t="shared" si="15"/>
        <v>1488</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8764.4599999999809</v>
      </c>
      <c r="F62" s="2334">
        <f t="shared" si="15"/>
        <v>1586</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29509.480000000021</v>
      </c>
      <c r="F65" s="1091">
        <f>IF(B46="楼面地价",SUM(F56:F64),ROUND(C48*E65/10000,0))</f>
        <v>79415</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92</v>
      </c>
      <c r="E80" s="1196">
        <f t="shared" si="22"/>
        <v>84</v>
      </c>
      <c r="F80" s="1196">
        <f t="shared" si="22"/>
        <v>76</v>
      </c>
      <c r="G80" s="1196">
        <f t="shared" si="22"/>
        <v>68</v>
      </c>
      <c r="H80" s="1196">
        <f t="shared" si="22"/>
        <v>60</v>
      </c>
      <c r="I80" s="1196">
        <f t="shared" si="22"/>
        <v>52</v>
      </c>
      <c r="J80" s="1196">
        <f t="shared" si="22"/>
        <v>44</v>
      </c>
      <c r="K80" s="1196">
        <f t="shared" si="22"/>
        <v>36</v>
      </c>
      <c r="L80" s="1196">
        <f t="shared" si="22"/>
        <v>28</v>
      </c>
      <c r="M80" s="1196">
        <f t="shared" si="22"/>
        <v>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98</v>
      </c>
      <c r="E88" s="1196">
        <f>D88-$K15</f>
        <v>96</v>
      </c>
      <c r="F88" s="1196">
        <f>E88-$K15</f>
        <v>94</v>
      </c>
      <c r="G88" s="1196">
        <f>F88-$K15</f>
        <v>92</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H17" sqref="H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39" sqref="O38:O39"/>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102057</v>
      </c>
      <c r="C2" s="2246" t="s">
        <v>1280</v>
      </c>
      <c r="D2" s="2246"/>
      <c r="E2" s="2244"/>
      <c r="F2" s="2244"/>
      <c r="G2" s="2244"/>
      <c r="H2" s="2244"/>
      <c r="I2" s="2244"/>
      <c r="J2" s="2244"/>
      <c r="K2" s="2244"/>
    </row>
    <row r="3" spans="1:33" ht="18" customHeight="1">
      <c r="A3" s="380" t="s">
        <v>1026</v>
      </c>
      <c r="B3" s="381">
        <f ca="1">ROUND(B2*10000/IF(C1="",'数据-汇总表'!E3,INDIRECT("'数据-取费表'!K"&amp;$K$1)),0)</f>
        <v>34584</v>
      </c>
      <c r="C3" s="2246" t="s">
        <v>1281</v>
      </c>
      <c r="D3" s="2246"/>
      <c r="E3" s="2244"/>
      <c r="F3" s="2244"/>
      <c r="G3" s="2244"/>
      <c r="H3" s="2244"/>
      <c r="I3" s="2244"/>
      <c r="J3" s="2244"/>
      <c r="K3" s="2244"/>
    </row>
    <row r="4" spans="1:33" s="2231" customFormat="1" ht="16.5" customHeight="1">
      <c r="A4" s="2247" t="s">
        <v>1282</v>
      </c>
      <c r="B4" s="2248"/>
      <c r="C4" s="2249">
        <f ca="1">SUM(C8:K8)</f>
        <v>130784</v>
      </c>
      <c r="D4" s="2248"/>
      <c r="E4" s="2248"/>
      <c r="F4" s="2248"/>
      <c r="G4" s="2248"/>
      <c r="H4" s="2248"/>
      <c r="I4" s="2248"/>
      <c r="J4" s="2248"/>
      <c r="K4" s="2314"/>
    </row>
    <row r="5" spans="1:33" s="2232" customFormat="1" ht="15">
      <c r="A5" s="2250" t="s">
        <v>1283</v>
      </c>
      <c r="B5" s="2251" t="s">
        <v>1284</v>
      </c>
      <c r="C5" s="2252" t="s">
        <v>412</v>
      </c>
      <c r="D5" s="2252"/>
      <c r="E5" s="2252" t="s">
        <v>3823</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73771</v>
      </c>
      <c r="D6" s="2254"/>
      <c r="E6" s="2254">
        <f>'比较法-车位'!B3</f>
        <v>11347</v>
      </c>
      <c r="F6" s="2254">
        <f ca="1">F8/F7*10000</f>
        <v>8474.4731590986557</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15813.740000000045</v>
      </c>
      <c r="D7" s="2255">
        <f>SUMIF('数据-汇总表'!$C19:$C33,假设开发法!D5,'数据-汇总表'!$E19:$E33)</f>
        <v>0</v>
      </c>
      <c r="E7" s="2255">
        <f>SUMIF('数据-汇总表'!$C19:$C33,假设开发法!E5,'数据-汇总表'!$E19:$E33)</f>
        <v>8764.4599999999809</v>
      </c>
      <c r="F7" s="2255">
        <f>SUMIF('数据-汇总表'!$C19:$C33,假设开发法!F5,'数据-汇总表'!$E19:$E33)</f>
        <v>4931.279999999997</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116660</v>
      </c>
      <c r="D8" s="2258"/>
      <c r="E8" s="2258">
        <f>'比较法-车位'!B2</f>
        <v>9945</v>
      </c>
      <c r="F8" s="2259">
        <f ca="1">收益法!B2</f>
        <v>4179</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6534</v>
      </c>
      <c r="D11" s="2267"/>
      <c r="E11" s="1368"/>
      <c r="F11" s="2268">
        <f ca="1">1-IF('数据-取费表'!B24=0,1,IF(C1="",'数据-取费表'!N16,INDIRECT("'数据-取费表'!n"&amp;$K$1)))</f>
        <v>0.4</v>
      </c>
      <c r="G11" s="2260"/>
      <c r="H11" s="2263"/>
      <c r="I11" s="2263"/>
      <c r="J11" s="2263"/>
      <c r="K11" s="2320"/>
    </row>
    <row r="12" spans="1:33" s="2235" customFormat="1" ht="13.5" customHeight="1">
      <c r="A12" s="2264" t="s">
        <v>1044</v>
      </c>
      <c r="B12" s="2265" t="s">
        <v>1293</v>
      </c>
      <c r="C12" s="1357">
        <f ca="1">ROUND(C11*F12,0)</f>
        <v>327</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190</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236</v>
      </c>
      <c r="D14" s="2269">
        <f ca="1">IF(C1="",'数据-汇总表'!E3,INDIRECT("'数据-取费表'!K"&amp;$K$1)+INDIRECT("'数据-取费表'!S"&amp;$K$1))</f>
        <v>29509.480000000025</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131</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7418</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89</v>
      </c>
      <c r="D17" s="2269">
        <f ca="1">D14</f>
        <v>29509.480000000025</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527</v>
      </c>
      <c r="D18" s="2269"/>
      <c r="E18" s="1357"/>
      <c r="F18" s="2270"/>
      <c r="G18" s="2274"/>
      <c r="H18" s="2275"/>
      <c r="I18" s="2321" t="s">
        <v>1309</v>
      </c>
      <c r="J18" s="1480"/>
      <c r="K18" s="1481"/>
    </row>
    <row r="19" spans="1:33" s="2235" customFormat="1" ht="13.5" customHeight="1">
      <c r="A19" s="2264" t="s">
        <v>1040</v>
      </c>
      <c r="B19" s="2265" t="s">
        <v>443</v>
      </c>
      <c r="C19" s="1357">
        <f ca="1">ROUND(D19*E19/10000,0)</f>
        <v>253</v>
      </c>
      <c r="D19" s="2269">
        <f ca="1">IF(C1="",'数据-汇总表'!E5,IF(INDIRECT("'数据-取费表'!c"&amp;$K$1)="住宅",INDIRECT("'数据-取费表'!k"&amp;$K$1),0))</f>
        <v>15813.740000000045</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13695.73999999998</v>
      </c>
      <c r="E20" s="1357">
        <f>'数据-取费表'!B28</f>
        <v>200</v>
      </c>
      <c r="F20" s="2270"/>
      <c r="G20" s="1479"/>
      <c r="H20" s="2277"/>
      <c r="I20" s="2277"/>
      <c r="J20" s="2277"/>
      <c r="K20" s="2322"/>
    </row>
    <row r="21" spans="1:33" s="2235" customFormat="1" ht="13.5" customHeight="1">
      <c r="A21" s="2253" t="s">
        <v>932</v>
      </c>
      <c r="B21" s="2278" t="s">
        <v>1311</v>
      </c>
      <c r="C21" s="2279">
        <f ca="1">C16+C17+C18</f>
        <v>8034</v>
      </c>
      <c r="D21" s="2280"/>
      <c r="E21" s="2281"/>
      <c r="F21" s="2281"/>
      <c r="G21" s="1364" t="s">
        <v>1312</v>
      </c>
      <c r="H21" s="1480"/>
      <c r="I21" s="1480"/>
      <c r="J21" s="1480"/>
      <c r="K21" s="1481"/>
    </row>
    <row r="22" spans="1:33" s="2235" customFormat="1" ht="13.5" customHeight="1">
      <c r="A22" s="2253" t="s">
        <v>936</v>
      </c>
      <c r="B22" s="2278" t="s">
        <v>1313</v>
      </c>
      <c r="C22" s="2279">
        <f ca="1">ROUND(C21*F22,0)</f>
        <v>161</v>
      </c>
      <c r="D22" s="2281"/>
      <c r="E22" s="2281"/>
      <c r="F22" s="2282">
        <f>'数据-取费表'!B37</f>
        <v>0.02</v>
      </c>
      <c r="G22" s="2260" t="s">
        <v>1314</v>
      </c>
      <c r="H22" s="2263"/>
      <c r="I22" s="2263"/>
      <c r="J22" s="2263"/>
      <c r="K22" s="2320"/>
    </row>
    <row r="23" spans="1:33" s="2235" customFormat="1" ht="13.5" customHeight="1">
      <c r="A23" s="2253" t="s">
        <v>982</v>
      </c>
      <c r="B23" s="2278" t="s">
        <v>1315</v>
      </c>
      <c r="C23" s="2279">
        <f ca="1">ROUND(C4*F23*F11,0)</f>
        <v>1046</v>
      </c>
      <c r="D23" s="2281"/>
      <c r="E23" s="2281"/>
      <c r="F23" s="2282">
        <f>'数据-取费表'!B38</f>
        <v>0.02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126</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126</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1201</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1201</v>
      </c>
      <c r="D30" s="2290"/>
      <c r="E30" s="2291"/>
      <c r="F30" s="2299"/>
      <c r="G30" s="1364"/>
      <c r="H30" s="1480"/>
      <c r="I30" s="1480"/>
      <c r="J30" s="1480"/>
      <c r="K30" s="1481"/>
    </row>
    <row r="31" spans="1:33" s="2235" customFormat="1" ht="13.5" customHeight="1">
      <c r="A31" s="2301" t="s">
        <v>1327</v>
      </c>
      <c r="B31" s="2302" t="s">
        <v>1328</v>
      </c>
      <c r="C31" s="2303">
        <f ca="1">ROUND(C4*F31/(1+'数据-取费表'!C42),0)</f>
        <v>6851</v>
      </c>
      <c r="D31" s="2304"/>
      <c r="E31" s="2305"/>
      <c r="F31" s="2306">
        <f>'数据-取费表'!B41</f>
        <v>5.5E-2</v>
      </c>
      <c r="G31" s="2307" t="s">
        <v>1329</v>
      </c>
      <c r="H31" s="2308"/>
      <c r="I31" s="2308"/>
      <c r="J31" s="2308"/>
      <c r="K31" s="2324"/>
    </row>
    <row r="32" spans="1:33" s="2234" customFormat="1" ht="13.5" customHeight="1">
      <c r="A32" s="2309" t="s">
        <v>1330</v>
      </c>
      <c r="B32" s="2310"/>
      <c r="C32" s="2311">
        <f ca="1">ROUND((C4-C21-C22-C23-C25-C28-C31)/(1+C24+D25+D28),0)</f>
        <v>102057</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41" t="s">
        <v>1347</v>
      </c>
      <c r="C6" s="1319">
        <f ca="1">ROUND(F6*F8*F7*(1-F9),0)</f>
        <v>0</v>
      </c>
      <c r="D6" s="1320" t="s">
        <v>1348</v>
      </c>
      <c r="E6" s="1321" t="s">
        <v>1349</v>
      </c>
      <c r="F6" s="1322">
        <f ca="1">INDIRECT("'数据-取费表'!u"&amp;$G$1)</f>
        <v>0</v>
      </c>
      <c r="G6" s="760"/>
      <c r="H6" s="1318" t="s">
        <v>932</v>
      </c>
      <c r="I6" s="3741" t="s">
        <v>1347</v>
      </c>
      <c r="J6" s="1397">
        <f ca="1">ROUND(M6*M8*M7*(1-M9),0)</f>
        <v>0</v>
      </c>
      <c r="K6" s="2229" t="s">
        <v>1350</v>
      </c>
      <c r="L6" s="1321" t="s">
        <v>1349</v>
      </c>
      <c r="M6" s="1322">
        <f ca="1">INDIRECT("'数据-取费表'!z"&amp;$G$1)</f>
        <v>0</v>
      </c>
    </row>
    <row r="7" spans="1:37" ht="18" customHeight="1">
      <c r="A7" s="1323"/>
      <c r="B7" s="3742"/>
      <c r="C7" s="1324"/>
      <c r="D7" s="1325"/>
      <c r="E7" s="1326" t="s">
        <v>1351</v>
      </c>
      <c r="F7" s="1322">
        <f ca="1">IF(INDIRECT("'数据-取费表'!ah"&amp;$G$1)="",INDIRECT("'数据-取费表'!k"&amp;$G$1),INDIRECT("'数据-取费表'!ah"&amp;$G$1))</f>
        <v>0</v>
      </c>
      <c r="G7" s="760"/>
      <c r="H7" s="1327"/>
      <c r="I7" s="3742"/>
      <c r="J7" s="1328"/>
      <c r="K7" s="1325"/>
      <c r="L7" s="1321" t="s">
        <v>1351</v>
      </c>
      <c r="M7" s="1322">
        <f ca="1">F7</f>
        <v>0</v>
      </c>
    </row>
    <row r="8" spans="1:37" ht="18" customHeight="1">
      <c r="A8" s="1327"/>
      <c r="B8" s="3742"/>
      <c r="C8" s="1328"/>
      <c r="D8" s="1325"/>
      <c r="E8" s="1321" t="s">
        <v>1352</v>
      </c>
      <c r="F8" s="1322">
        <f ca="1">INDIRECT("'数据-取费表'!ai"&amp;$G$1)</f>
        <v>0</v>
      </c>
      <c r="G8" s="760"/>
      <c r="H8" s="1327"/>
      <c r="I8" s="3742"/>
      <c r="J8" s="1328"/>
      <c r="K8" s="1325"/>
      <c r="L8" s="1321" t="s">
        <v>1352</v>
      </c>
      <c r="M8" s="1322">
        <f ca="1">INDIRECT("'数据-取费表'!ai"&amp;$G$1)</f>
        <v>0</v>
      </c>
    </row>
    <row r="9" spans="1:37" ht="18" customHeight="1">
      <c r="A9" s="1327"/>
      <c r="B9" s="3743"/>
      <c r="C9" s="1328"/>
      <c r="D9" s="1325"/>
      <c r="E9" s="1321" t="s">
        <v>1353</v>
      </c>
      <c r="F9" s="1329">
        <f ca="1">INDIRECT("'数据-取费表'!w"&amp;$G$1)</f>
        <v>0</v>
      </c>
      <c r="G9" s="760"/>
      <c r="H9" s="1327"/>
      <c r="I9" s="3743"/>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0.02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0.02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6.9999999999999999E-4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5.2400000000000002E-2</v>
      </c>
      <c r="D28" s="1366" t="s">
        <v>1423</v>
      </c>
      <c r="E28" s="1321" t="s">
        <v>1369</v>
      </c>
      <c r="F28" s="1362">
        <f>'数据-取费表'!B41</f>
        <v>5.5E-2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5.5E-2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39" t="s">
        <v>1477</v>
      </c>
      <c r="L53" s="3740"/>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5.5E-2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56" t="s">
        <v>1529</v>
      </c>
      <c r="K2" s="3757"/>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50" t="s">
        <v>1537</v>
      </c>
      <c r="K3" s="3751"/>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50" t="s">
        <v>1539</v>
      </c>
      <c r="K4" s="3751"/>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60" t="s">
        <v>1543</v>
      </c>
      <c r="B6" s="3761"/>
      <c r="C6" s="3762"/>
      <c r="D6" s="2072"/>
      <c r="E6" s="2073"/>
      <c r="F6" s="2074"/>
      <c r="G6" s="2075"/>
      <c r="H6" s="2063"/>
      <c r="I6" s="2160"/>
      <c r="J6" s="3744">
        <v>1</v>
      </c>
      <c r="K6" s="3747"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44"/>
      <c r="K7" s="3748"/>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58" t="s">
        <v>1557</v>
      </c>
      <c r="C8" s="3759"/>
      <c r="D8" s="2086" t="s">
        <v>1558</v>
      </c>
      <c r="E8" s="2087" t="s">
        <v>1559</v>
      </c>
      <c r="F8" s="2088" t="s">
        <v>1560</v>
      </c>
      <c r="G8" s="2089"/>
      <c r="H8" s="2063"/>
      <c r="I8" s="2160"/>
      <c r="J8" s="3744"/>
      <c r="K8" s="3748"/>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58" t="s">
        <v>1563</v>
      </c>
      <c r="C9" s="3759"/>
      <c r="D9" s="2086">
        <f>ROUND(D6*E9,0)</f>
        <v>0</v>
      </c>
      <c r="E9" s="2090"/>
      <c r="F9" s="2091" t="s">
        <v>1564</v>
      </c>
      <c r="G9" s="2075"/>
      <c r="H9" s="2063"/>
      <c r="I9" s="2160"/>
      <c r="J9" s="3744"/>
      <c r="K9" s="3748"/>
      <c r="L9" s="2170" t="s">
        <v>1565</v>
      </c>
      <c r="M9" s="2171"/>
      <c r="N9" s="2068"/>
      <c r="O9" s="2172"/>
      <c r="P9" s="2172"/>
      <c r="Q9" s="2101">
        <v>365</v>
      </c>
      <c r="R9" s="2206">
        <f t="shared" si="0"/>
        <v>0</v>
      </c>
      <c r="S9" s="2199"/>
      <c r="T9" s="2199"/>
      <c r="U9" s="2199"/>
      <c r="V9" s="2160"/>
    </row>
    <row r="10" spans="1:22" s="2045" customFormat="1" ht="13.15" customHeight="1">
      <c r="A10" s="2083">
        <v>2</v>
      </c>
      <c r="B10" s="3758" t="s">
        <v>1566</v>
      </c>
      <c r="C10" s="3759"/>
      <c r="D10" s="2086">
        <f>ROUND(D6*E10,0)</f>
        <v>0</v>
      </c>
      <c r="E10" s="2090"/>
      <c r="F10" s="2091" t="s">
        <v>1567</v>
      </c>
      <c r="G10" s="2075"/>
      <c r="H10" s="2063"/>
      <c r="I10" s="2160"/>
      <c r="J10" s="3744"/>
      <c r="K10" s="3748"/>
      <c r="L10" s="2170" t="s">
        <v>1568</v>
      </c>
      <c r="M10" s="2171"/>
      <c r="N10" s="2068"/>
      <c r="O10" s="2172"/>
      <c r="P10" s="2172"/>
      <c r="Q10" s="2101">
        <v>365</v>
      </c>
      <c r="R10" s="2206">
        <f t="shared" si="0"/>
        <v>0</v>
      </c>
      <c r="S10" s="2199"/>
      <c r="T10" s="2199"/>
      <c r="U10" s="2199"/>
      <c r="V10" s="2160"/>
    </row>
    <row r="11" spans="1:22" s="2045" customFormat="1" ht="13.15" customHeight="1">
      <c r="A11" s="2083">
        <v>3</v>
      </c>
      <c r="B11" s="3758" t="s">
        <v>1569</v>
      </c>
      <c r="C11" s="3759"/>
      <c r="D11" s="2086">
        <f>D12+D14+D15+D16</f>
        <v>0</v>
      </c>
      <c r="E11" s="2092" t="e">
        <f>D11/D6</f>
        <v>#DIV/0!</v>
      </c>
      <c r="F11" s="2088"/>
      <c r="G11" s="2089"/>
      <c r="H11" s="2063"/>
      <c r="I11" s="2160"/>
      <c r="J11" s="3744"/>
      <c r="K11" s="3748"/>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52" t="s">
        <v>1572</v>
      </c>
      <c r="C12" s="3753"/>
      <c r="D12" s="2096">
        <f>ROUND(D13*1.2%*(1-30%),0)</f>
        <v>0</v>
      </c>
      <c r="E12" s="2097">
        <v>1.2E-2</v>
      </c>
      <c r="F12" s="2088" t="s">
        <v>1573</v>
      </c>
      <c r="G12" s="2089"/>
      <c r="H12" s="2063"/>
      <c r="I12" s="2160"/>
      <c r="J12" s="3744"/>
      <c r="K12" s="3748"/>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44"/>
      <c r="K13" s="3748"/>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52" t="s">
        <v>1578</v>
      </c>
      <c r="C14" s="3753"/>
      <c r="D14" s="2096">
        <f>ROUND(E14*B5/10000,0)</f>
        <v>0</v>
      </c>
      <c r="E14" s="2101"/>
      <c r="F14" s="2088" t="s">
        <v>1579</v>
      </c>
      <c r="G14" s="2089"/>
      <c r="H14" s="2063"/>
      <c r="I14" s="2160"/>
      <c r="J14" s="3744"/>
      <c r="K14" s="3749"/>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52" t="s">
        <v>1582</v>
      </c>
      <c r="C15" s="3753"/>
      <c r="D15" s="2096">
        <f>ROUND(D6*E15,0)</f>
        <v>0</v>
      </c>
      <c r="E15" s="2097">
        <v>5.5E-2</v>
      </c>
      <c r="F15" s="2088" t="s">
        <v>1583</v>
      </c>
      <c r="G15" s="2075"/>
      <c r="H15" s="2063"/>
      <c r="I15" s="2160"/>
      <c r="J15" s="3744">
        <v>2</v>
      </c>
      <c r="K15" s="3747"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52" t="s">
        <v>1590</v>
      </c>
      <c r="C16" s="3753"/>
      <c r="D16" s="2102">
        <f>D6*E16</f>
        <v>0</v>
      </c>
      <c r="E16" s="2103"/>
      <c r="F16" s="2091" t="s">
        <v>1591</v>
      </c>
      <c r="G16" s="2075"/>
      <c r="H16" s="2063"/>
      <c r="I16" s="2160"/>
      <c r="J16" s="3744"/>
      <c r="K16" s="3748"/>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54" t="s">
        <v>1593</v>
      </c>
      <c r="C17" s="3755"/>
      <c r="D17" s="2105">
        <f>ROUND(D6*E17,0)</f>
        <v>0</v>
      </c>
      <c r="E17" s="2106"/>
      <c r="F17" s="2107" t="s">
        <v>1594</v>
      </c>
      <c r="G17" s="2075"/>
      <c r="H17" s="2063"/>
      <c r="I17" s="2160"/>
      <c r="J17" s="3744"/>
      <c r="K17" s="3748"/>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44"/>
      <c r="K18" s="3748"/>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44"/>
      <c r="K19" s="3749"/>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44">
        <v>3</v>
      </c>
      <c r="K20" s="3747"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44"/>
      <c r="K21" s="3748"/>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44"/>
      <c r="K22" s="3748"/>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44"/>
      <c r="K23" s="3748"/>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44"/>
      <c r="K24" s="3749"/>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45">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46"/>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56" t="s">
        <v>1529</v>
      </c>
      <c r="K32" s="3757"/>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50" t="s">
        <v>1537</v>
      </c>
      <c r="K33" s="3751"/>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50" t="s">
        <v>1539</v>
      </c>
      <c r="K34" s="3751"/>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44">
        <v>1</v>
      </c>
      <c r="K36" s="3747"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44"/>
      <c r="K37" s="3748"/>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44"/>
      <c r="K38" s="3748"/>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44"/>
      <c r="K39" s="3748"/>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44"/>
      <c r="K40" s="3749"/>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45">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46"/>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8358</v>
      </c>
      <c r="C2" s="2028" t="s">
        <v>1640</v>
      </c>
      <c r="D2" s="2029" t="s">
        <v>1641</v>
      </c>
      <c r="E2" s="2030">
        <f>SUM(E6:E13)</f>
        <v>4931.279999999997</v>
      </c>
      <c r="F2" s="2024"/>
      <c r="G2" s="2025"/>
      <c r="H2" s="2025"/>
      <c r="I2" s="2025"/>
      <c r="J2" s="2025"/>
      <c r="K2" s="2025"/>
      <c r="L2" s="2025"/>
      <c r="M2" s="2025"/>
      <c r="N2" s="2025"/>
      <c r="O2" s="2025"/>
      <c r="P2" s="2025"/>
      <c r="Q2" s="2025"/>
      <c r="R2" s="2025"/>
      <c r="S2" s="2025"/>
    </row>
    <row r="3" spans="1:22" ht="15.75">
      <c r="A3" s="2026" t="s">
        <v>1026</v>
      </c>
      <c r="B3" s="2031">
        <f ca="1">ROUND(B2*10000/E2,0)</f>
        <v>16949</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63" t="s">
        <v>1644</v>
      </c>
      <c r="C5" s="3764"/>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4179</v>
      </c>
      <c r="C8" s="2028" t="s">
        <v>1640</v>
      </c>
      <c r="D8" s="2032"/>
      <c r="E8" s="2040">
        <f>IF(OR(A8=0,F8="否"),0,'数据-取费表'!K8+'数据-取费表'!S8)</f>
        <v>4931.279999999997</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4179</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估价对象为北京市出让国有建设用地使用权及在建建筑物房地产，为所有。根据《国有土地使用证》[]，估价对象（分摊）出让国有建设用地使用权面积为7912.64平方米，建筑面积为29509.48平方米。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7912.64平方米，规划建筑面积为29509.48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workbookViewId="0">
      <selection activeCell="O55" sqref="O55"/>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116660</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73771</v>
      </c>
      <c r="C3" s="1591" t="s">
        <v>1132</v>
      </c>
      <c r="D3" s="1592">
        <f>IF(D1="",'数据-汇总表'!E3,SUMIF('数据-汇总表'!$C19:$C33,D1,'数据-汇总表'!$E19:$E33))</f>
        <v>15813.740000000045</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699" t="s">
        <v>1134</v>
      </c>
      <c r="D4" s="3732"/>
      <c r="E4" s="3733" t="s">
        <v>1135</v>
      </c>
      <c r="F4" s="3734"/>
      <c r="G4" s="3699" t="s">
        <v>1136</v>
      </c>
      <c r="H4" s="3732"/>
      <c r="I4" s="3699" t="s">
        <v>1137</v>
      </c>
      <c r="J4" s="3732"/>
      <c r="K4" s="1953" t="s">
        <v>1138</v>
      </c>
      <c r="L4" s="1109"/>
      <c r="M4" s="1110"/>
      <c r="N4" s="1110"/>
      <c r="O4" s="1110"/>
      <c r="P4" s="3703" t="s">
        <v>1139</v>
      </c>
      <c r="Q4" s="3704"/>
      <c r="R4" s="3709" t="s">
        <v>1135</v>
      </c>
      <c r="S4" s="3710"/>
      <c r="T4" s="3709" t="s">
        <v>1136</v>
      </c>
      <c r="U4" s="3710"/>
      <c r="V4" s="3715" t="s">
        <v>1137</v>
      </c>
      <c r="W4" s="3715"/>
      <c r="X4" s="1152"/>
      <c r="Y4" s="3709" t="s">
        <v>1139</v>
      </c>
      <c r="Z4" s="3710"/>
      <c r="AA4" s="3696" t="s">
        <v>1135</v>
      </c>
      <c r="AB4" s="3696" t="s">
        <v>1136</v>
      </c>
      <c r="AC4" s="3696" t="s">
        <v>1137</v>
      </c>
    </row>
    <row r="5" spans="1:29" ht="15">
      <c r="A5" s="963"/>
      <c r="B5" s="964"/>
      <c r="C5" s="3735" t="s">
        <v>1140</v>
      </c>
      <c r="D5" s="3736"/>
      <c r="E5" s="3773" t="s">
        <v>3337</v>
      </c>
      <c r="F5" s="3738"/>
      <c r="G5" s="3774" t="s">
        <v>3331</v>
      </c>
      <c r="H5" s="3736"/>
      <c r="I5" s="3774" t="s">
        <v>3826</v>
      </c>
      <c r="J5" s="3736"/>
      <c r="K5" s="1954"/>
      <c r="L5" s="1109"/>
      <c r="M5" s="1110"/>
      <c r="N5" s="1110"/>
      <c r="O5" s="1110"/>
      <c r="P5" s="3705"/>
      <c r="Q5" s="3706"/>
      <c r="R5" s="3711"/>
      <c r="S5" s="3712"/>
      <c r="T5" s="3711"/>
      <c r="U5" s="3712"/>
      <c r="V5" s="3715"/>
      <c r="W5" s="3715"/>
      <c r="X5" s="1152"/>
      <c r="Y5" s="3711"/>
      <c r="Z5" s="3712"/>
      <c r="AA5" s="3697"/>
      <c r="AB5" s="3697"/>
      <c r="AC5" s="3697"/>
    </row>
    <row r="6" spans="1:29" ht="15">
      <c r="A6" s="965"/>
      <c r="B6" s="966"/>
      <c r="C6" s="3726" t="s">
        <v>1144</v>
      </c>
      <c r="D6" s="3727"/>
      <c r="E6" s="3728" t="s">
        <v>1144</v>
      </c>
      <c r="F6" s="3729"/>
      <c r="G6" s="3726" t="s">
        <v>1144</v>
      </c>
      <c r="H6" s="3727"/>
      <c r="I6" s="3726" t="s">
        <v>1144</v>
      </c>
      <c r="J6" s="3727"/>
      <c r="K6" s="1954" t="s">
        <v>1146</v>
      </c>
      <c r="L6" s="1109"/>
      <c r="M6" s="1110"/>
      <c r="N6" s="1110"/>
      <c r="O6" s="1110"/>
      <c r="P6" s="3707"/>
      <c r="Q6" s="3708"/>
      <c r="R6" s="3711"/>
      <c r="S6" s="3712"/>
      <c r="T6" s="3713"/>
      <c r="U6" s="3714"/>
      <c r="V6" s="3715"/>
      <c r="W6" s="3715"/>
      <c r="X6" s="1152"/>
      <c r="Y6" s="3713"/>
      <c r="Z6" s="3714"/>
      <c r="AA6" s="3698"/>
      <c r="AB6" s="3698"/>
      <c r="AC6" s="3698"/>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720" t="s">
        <v>1148</v>
      </c>
      <c r="Q7" s="3731"/>
      <c r="R7" s="1153" t="s">
        <v>1149</v>
      </c>
      <c r="S7" s="1154">
        <f t="shared" ref="S7:S15" si="0">F7</f>
        <v>100</v>
      </c>
      <c r="T7" s="1153" t="s">
        <v>1149</v>
      </c>
      <c r="U7" s="1154">
        <f t="shared" ref="U7:U15" si="1">H7</f>
        <v>100</v>
      </c>
      <c r="V7" s="1153" t="s">
        <v>1149</v>
      </c>
      <c r="W7" s="1154">
        <f t="shared" ref="W7:W15" si="2">J7</f>
        <v>100</v>
      </c>
      <c r="X7" s="1155"/>
      <c r="Y7" s="3720" t="s">
        <v>1148</v>
      </c>
      <c r="Z7" s="3721"/>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720" t="s">
        <v>1152</v>
      </c>
      <c r="Q8" s="3721"/>
      <c r="R8" s="1153" t="s">
        <v>1149</v>
      </c>
      <c r="S8" s="1154">
        <f t="shared" si="0"/>
        <v>100</v>
      </c>
      <c r="T8" s="1153" t="s">
        <v>1149</v>
      </c>
      <c r="U8" s="1154">
        <f t="shared" si="1"/>
        <v>100</v>
      </c>
      <c r="V8" s="1153" t="s">
        <v>1149</v>
      </c>
      <c r="W8" s="1154">
        <f t="shared" si="2"/>
        <v>100</v>
      </c>
      <c r="X8" s="1155"/>
      <c r="Y8" s="3720" t="s">
        <v>1152</v>
      </c>
      <c r="Z8" s="3721"/>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01" t="s">
        <v>1155</v>
      </c>
      <c r="Q9" s="1157" t="str">
        <f t="shared" ref="Q9:Q15" si="6">B9</f>
        <v>用途</v>
      </c>
      <c r="R9" s="1153" t="s">
        <v>1149</v>
      </c>
      <c r="S9" s="1154">
        <f t="shared" si="0"/>
        <v>100</v>
      </c>
      <c r="T9" s="1153" t="s">
        <v>1149</v>
      </c>
      <c r="U9" s="1154">
        <f t="shared" si="1"/>
        <v>100</v>
      </c>
      <c r="V9" s="1153" t="s">
        <v>1149</v>
      </c>
      <c r="W9" s="1154">
        <f t="shared" si="2"/>
        <v>100</v>
      </c>
      <c r="X9" s="1155"/>
      <c r="Y9" s="3608"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01"/>
      <c r="Q10" s="1157" t="str">
        <f t="shared" si="6"/>
        <v>土地使用年限（年）</v>
      </c>
      <c r="R10" s="1153" t="s">
        <v>1149</v>
      </c>
      <c r="S10" s="1154">
        <f t="shared" si="0"/>
        <v>100</v>
      </c>
      <c r="T10" s="1153" t="s">
        <v>1149</v>
      </c>
      <c r="U10" s="1154">
        <f t="shared" si="1"/>
        <v>100</v>
      </c>
      <c r="V10" s="1153" t="s">
        <v>1149</v>
      </c>
      <c r="W10" s="1154">
        <f t="shared" si="2"/>
        <v>100</v>
      </c>
      <c r="X10" s="1155"/>
      <c r="Y10" s="3608"/>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c r="L11" s="1120"/>
      <c r="M11" s="1110"/>
      <c r="N11" s="1110"/>
      <c r="O11" s="1110"/>
      <c r="P11" s="3701"/>
      <c r="Q11" s="1157" t="str">
        <f t="shared" si="6"/>
        <v>容积率</v>
      </c>
      <c r="R11" s="1153" t="s">
        <v>1149</v>
      </c>
      <c r="S11" s="1154">
        <f t="shared" si="0"/>
        <v>100</v>
      </c>
      <c r="T11" s="1153" t="s">
        <v>1149</v>
      </c>
      <c r="U11" s="1154">
        <f t="shared" si="1"/>
        <v>100</v>
      </c>
      <c r="V11" s="1153" t="s">
        <v>1149</v>
      </c>
      <c r="W11" s="1154">
        <f t="shared" si="2"/>
        <v>100</v>
      </c>
      <c r="X11" s="1155"/>
      <c r="Y11" s="3608"/>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01"/>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01"/>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01"/>
      <c r="Q14" s="1157">
        <f t="shared" si="6"/>
        <v>111</v>
      </c>
      <c r="R14" s="1153" t="s">
        <v>1149</v>
      </c>
      <c r="S14" s="1154">
        <f t="shared" si="0"/>
        <v>100</v>
      </c>
      <c r="T14" s="1153" t="s">
        <v>1149</v>
      </c>
      <c r="U14" s="1154">
        <f t="shared" si="1"/>
        <v>100</v>
      </c>
      <c r="V14" s="1153" t="s">
        <v>1149</v>
      </c>
      <c r="W14" s="1154">
        <f t="shared" si="2"/>
        <v>100</v>
      </c>
      <c r="X14" s="1155"/>
      <c r="Y14" s="3608"/>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767" t="s">
        <v>1162</v>
      </c>
      <c r="Q15" s="663" t="str">
        <f t="shared" si="6"/>
        <v>居住社区成熟度</v>
      </c>
      <c r="R15" s="1158" t="s">
        <v>1149</v>
      </c>
      <c r="S15" s="1159">
        <f t="shared" si="0"/>
        <v>100</v>
      </c>
      <c r="T15" s="1158" t="s">
        <v>1149</v>
      </c>
      <c r="U15" s="1159">
        <f t="shared" si="1"/>
        <v>100</v>
      </c>
      <c r="V15" s="1158" t="s">
        <v>1149</v>
      </c>
      <c r="W15" s="1159">
        <f t="shared" si="2"/>
        <v>100</v>
      </c>
      <c r="X15" s="1152"/>
      <c r="Y15" s="3722"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768"/>
      <c r="Q16" s="663"/>
      <c r="R16" s="1158"/>
      <c r="S16" s="1159"/>
      <c r="T16" s="1158"/>
      <c r="U16" s="1159"/>
      <c r="V16" s="1158"/>
      <c r="W16" s="1159"/>
      <c r="X16" s="1152"/>
      <c r="Y16" s="3723"/>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768"/>
      <c r="Q17" s="663" t="str">
        <f>B17</f>
        <v>交通便捷度</v>
      </c>
      <c r="R17" s="1158" t="s">
        <v>1149</v>
      </c>
      <c r="S17" s="1159">
        <f>F17</f>
        <v>102</v>
      </c>
      <c r="T17" s="1158" t="s">
        <v>1149</v>
      </c>
      <c r="U17" s="1159">
        <f>H17</f>
        <v>102</v>
      </c>
      <c r="V17" s="1158" t="s">
        <v>1149</v>
      </c>
      <c r="W17" s="1159">
        <f>J17</f>
        <v>102</v>
      </c>
      <c r="X17" s="1152"/>
      <c r="Y17" s="3723"/>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768"/>
      <c r="Q18" s="663"/>
      <c r="R18" s="1158"/>
      <c r="S18" s="1159"/>
      <c r="T18" s="1158"/>
      <c r="U18" s="1159"/>
      <c r="V18" s="1158"/>
      <c r="W18" s="1159"/>
      <c r="X18" s="1152"/>
      <c r="Y18" s="3723"/>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768"/>
      <c r="Q19" s="663" t="str">
        <f>B19</f>
        <v>公共配套设施</v>
      </c>
      <c r="R19" s="1158" t="s">
        <v>1149</v>
      </c>
      <c r="S19" s="1159">
        <f>F19</f>
        <v>100</v>
      </c>
      <c r="T19" s="1158" t="s">
        <v>1149</v>
      </c>
      <c r="U19" s="1159">
        <f>H19</f>
        <v>100</v>
      </c>
      <c r="V19" s="1158" t="s">
        <v>1149</v>
      </c>
      <c r="W19" s="1159">
        <f>J19</f>
        <v>100</v>
      </c>
      <c r="X19" s="1152"/>
      <c r="Y19" s="3723"/>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768"/>
      <c r="Q20" s="663"/>
      <c r="R20" s="1158"/>
      <c r="S20" s="1159"/>
      <c r="T20" s="1158"/>
      <c r="U20" s="1159"/>
      <c r="V20" s="1158"/>
      <c r="W20" s="1159"/>
      <c r="X20" s="1152"/>
      <c r="Y20" s="3723"/>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768"/>
      <c r="Q21" s="663" t="str">
        <f>B21</f>
        <v>基础设施水平</v>
      </c>
      <c r="R21" s="1158" t="s">
        <v>1149</v>
      </c>
      <c r="S21" s="1159">
        <f>F21</f>
        <v>100</v>
      </c>
      <c r="T21" s="1158" t="s">
        <v>1149</v>
      </c>
      <c r="U21" s="1159">
        <f>H21</f>
        <v>100</v>
      </c>
      <c r="V21" s="1158" t="s">
        <v>1149</v>
      </c>
      <c r="W21" s="1159">
        <f>J21</f>
        <v>100</v>
      </c>
      <c r="X21" s="1152"/>
      <c r="Y21" s="3723"/>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768"/>
      <c r="Q22" s="663"/>
      <c r="R22" s="1158"/>
      <c r="S22" s="1159"/>
      <c r="T22" s="1158"/>
      <c r="U22" s="1159"/>
      <c r="V22" s="1158"/>
      <c r="W22" s="1159"/>
      <c r="X22" s="1152"/>
      <c r="Y22" s="3723"/>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768"/>
      <c r="Q23" s="663" t="str">
        <f>B23</f>
        <v>自然及人文环境</v>
      </c>
      <c r="R23" s="1158" t="s">
        <v>1149</v>
      </c>
      <c r="S23" s="1159">
        <f>F23</f>
        <v>100</v>
      </c>
      <c r="T23" s="1158" t="s">
        <v>1149</v>
      </c>
      <c r="U23" s="1159">
        <f>H23</f>
        <v>100</v>
      </c>
      <c r="V23" s="1158" t="s">
        <v>1149</v>
      </c>
      <c r="W23" s="1159">
        <f>J23</f>
        <v>102</v>
      </c>
      <c r="X23" s="1152"/>
      <c r="Y23" s="3723"/>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768"/>
      <c r="Q24" s="663"/>
      <c r="R24" s="1158"/>
      <c r="S24" s="1159"/>
      <c r="T24" s="1158"/>
      <c r="U24" s="1159"/>
      <c r="V24" s="1158"/>
      <c r="W24" s="1159"/>
      <c r="X24" s="1152"/>
      <c r="Y24" s="3723"/>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768"/>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23"/>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768"/>
      <c r="Q26" s="663" t="str">
        <f t="shared" si="11"/>
        <v>朝向</v>
      </c>
      <c r="R26" s="1158" t="s">
        <v>1149</v>
      </c>
      <c r="S26" s="1159">
        <f t="shared" si="12"/>
        <v>100</v>
      </c>
      <c r="T26" s="1158" t="s">
        <v>1149</v>
      </c>
      <c r="U26" s="1159">
        <f t="shared" si="13"/>
        <v>100</v>
      </c>
      <c r="V26" s="1158" t="s">
        <v>1149</v>
      </c>
      <c r="W26" s="1159">
        <f t="shared" si="14"/>
        <v>100</v>
      </c>
      <c r="X26" s="1152"/>
      <c r="Y26" s="3723"/>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768"/>
      <c r="Q27" s="1157">
        <f t="shared" si="11"/>
        <v>111</v>
      </c>
      <c r="R27" s="1153" t="s">
        <v>1149</v>
      </c>
      <c r="S27" s="1154">
        <f t="shared" si="12"/>
        <v>100</v>
      </c>
      <c r="T27" s="1153" t="s">
        <v>1149</v>
      </c>
      <c r="U27" s="1154">
        <f t="shared" si="13"/>
        <v>100</v>
      </c>
      <c r="V27" s="1153" t="s">
        <v>1149</v>
      </c>
      <c r="W27" s="1154">
        <f t="shared" si="14"/>
        <v>100</v>
      </c>
      <c r="X27" s="1155"/>
      <c r="Y27" s="3723"/>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768"/>
      <c r="Q28" s="663">
        <f t="shared" si="11"/>
        <v>111</v>
      </c>
      <c r="R28" s="1158" t="s">
        <v>1149</v>
      </c>
      <c r="S28" s="1159">
        <f t="shared" si="12"/>
        <v>100</v>
      </c>
      <c r="T28" s="1158" t="s">
        <v>1149</v>
      </c>
      <c r="U28" s="1159">
        <f t="shared" si="13"/>
        <v>100</v>
      </c>
      <c r="V28" s="1158" t="s">
        <v>1149</v>
      </c>
      <c r="W28" s="1159">
        <f t="shared" si="14"/>
        <v>100</v>
      </c>
      <c r="X28" s="1152"/>
      <c r="Y28" s="3723"/>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768"/>
      <c r="Q29" s="663">
        <f t="shared" si="11"/>
        <v>111</v>
      </c>
      <c r="R29" s="1158" t="s">
        <v>1149</v>
      </c>
      <c r="S29" s="1159">
        <f t="shared" si="12"/>
        <v>100</v>
      </c>
      <c r="T29" s="1158" t="s">
        <v>1149</v>
      </c>
      <c r="U29" s="1159">
        <f t="shared" si="13"/>
        <v>100</v>
      </c>
      <c r="V29" s="1158" t="s">
        <v>1149</v>
      </c>
      <c r="W29" s="1159">
        <f t="shared" si="14"/>
        <v>100</v>
      </c>
      <c r="X29" s="1152"/>
      <c r="Y29" s="3723"/>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768"/>
      <c r="Q30" s="663">
        <f t="shared" si="11"/>
        <v>111</v>
      </c>
      <c r="R30" s="1158" t="s">
        <v>1149</v>
      </c>
      <c r="S30" s="1159">
        <f t="shared" si="12"/>
        <v>100</v>
      </c>
      <c r="T30" s="1158" t="s">
        <v>1149</v>
      </c>
      <c r="U30" s="1159">
        <f t="shared" si="13"/>
        <v>100</v>
      </c>
      <c r="V30" s="1158" t="s">
        <v>1149</v>
      </c>
      <c r="W30" s="1159">
        <f t="shared" si="14"/>
        <v>100</v>
      </c>
      <c r="X30" s="1152"/>
      <c r="Y30" s="3723"/>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768"/>
      <c r="Q31" s="663">
        <f t="shared" si="11"/>
        <v>111</v>
      </c>
      <c r="R31" s="1158" t="s">
        <v>1149</v>
      </c>
      <c r="S31" s="1159">
        <f t="shared" si="12"/>
        <v>100</v>
      </c>
      <c r="T31" s="1158" t="s">
        <v>1149</v>
      </c>
      <c r="U31" s="1159">
        <f t="shared" si="13"/>
        <v>100</v>
      </c>
      <c r="V31" s="1158" t="s">
        <v>1149</v>
      </c>
      <c r="W31" s="1159">
        <f t="shared" si="14"/>
        <v>100</v>
      </c>
      <c r="X31" s="1152"/>
      <c r="Y31" s="3723"/>
      <c r="Z31" s="1142">
        <f t="shared" si="18"/>
        <v>111</v>
      </c>
      <c r="AA31" s="1169">
        <f t="shared" si="15"/>
        <v>1</v>
      </c>
      <c r="AB31" s="1169">
        <f t="shared" si="16"/>
        <v>1</v>
      </c>
      <c r="AC31" s="1169">
        <f t="shared" si="17"/>
        <v>1</v>
      </c>
    </row>
    <row r="32" spans="1:29" ht="15">
      <c r="A32" s="997" t="s">
        <v>1176</v>
      </c>
      <c r="B32" s="976" t="s">
        <v>1656</v>
      </c>
      <c r="C32" s="1915" t="s">
        <v>3329</v>
      </c>
      <c r="D32" s="1033">
        <v>100</v>
      </c>
      <c r="E32" s="1915" t="s">
        <v>3329</v>
      </c>
      <c r="F32" s="1611">
        <f>SUMIF(100:100,E32,101:101)-SUMIF(100:100,C32,101:101)+100</f>
        <v>100</v>
      </c>
      <c r="G32" s="1915" t="s">
        <v>3335</v>
      </c>
      <c r="H32" s="1033">
        <f>SUMIF(100:100,G32,101:101)-SUMIF(100:100,C32,101:101)+100</f>
        <v>102</v>
      </c>
      <c r="I32" s="1915" t="s">
        <v>3335</v>
      </c>
      <c r="J32" s="992">
        <f>SUMIF(100:100,I32,101:101)-SUMIF(100:100,C32,101:101)+100</f>
        <v>102</v>
      </c>
      <c r="K32" s="1961">
        <v>2</v>
      </c>
      <c r="L32" s="1122"/>
      <c r="M32" s="1110"/>
      <c r="N32" s="1110"/>
      <c r="O32" s="1110"/>
      <c r="P32" s="3769" t="s">
        <v>1175</v>
      </c>
      <c r="Q32" s="663" t="str">
        <f t="shared" si="11"/>
        <v>建筑类型</v>
      </c>
      <c r="R32" s="1158" t="s">
        <v>1149</v>
      </c>
      <c r="S32" s="1159">
        <f t="shared" si="12"/>
        <v>100</v>
      </c>
      <c r="T32" s="1158" t="s">
        <v>1149</v>
      </c>
      <c r="U32" s="1159">
        <f t="shared" si="13"/>
        <v>102</v>
      </c>
      <c r="V32" s="1158" t="s">
        <v>1149</v>
      </c>
      <c r="W32" s="1159">
        <f t="shared" si="14"/>
        <v>102</v>
      </c>
      <c r="X32" s="1152"/>
      <c r="Y32" s="3725" t="s">
        <v>1175</v>
      </c>
      <c r="Z32" s="1142" t="str">
        <f t="shared" si="18"/>
        <v>建筑类型</v>
      </c>
      <c r="AA32" s="1169">
        <f t="shared" si="15"/>
        <v>1</v>
      </c>
      <c r="AB32" s="1169">
        <f t="shared" si="16"/>
        <v>0.98039215686274506</v>
      </c>
      <c r="AC32" s="1169">
        <f t="shared" si="17"/>
        <v>0.98039215686274506</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770"/>
      <c r="Q33" s="1650" t="str">
        <f t="shared" si="11"/>
        <v>项目建筑规模</v>
      </c>
      <c r="R33" s="1160" t="s">
        <v>1149</v>
      </c>
      <c r="S33" s="1161">
        <f t="shared" si="12"/>
        <v>100.5</v>
      </c>
      <c r="T33" s="1160" t="s">
        <v>1149</v>
      </c>
      <c r="U33" s="1161">
        <f t="shared" si="13"/>
        <v>100</v>
      </c>
      <c r="V33" s="1160" t="s">
        <v>1149</v>
      </c>
      <c r="W33" s="1161">
        <f t="shared" si="14"/>
        <v>101</v>
      </c>
      <c r="X33" s="1162"/>
      <c r="Y33" s="3725"/>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770"/>
      <c r="Q34" s="663" t="str">
        <f t="shared" si="11"/>
        <v>建筑结构</v>
      </c>
      <c r="R34" s="1158" t="s">
        <v>1149</v>
      </c>
      <c r="S34" s="1159">
        <f t="shared" si="12"/>
        <v>100</v>
      </c>
      <c r="T34" s="1158" t="s">
        <v>1149</v>
      </c>
      <c r="U34" s="1159">
        <f t="shared" si="13"/>
        <v>100</v>
      </c>
      <c r="V34" s="1158" t="s">
        <v>1149</v>
      </c>
      <c r="W34" s="1159">
        <f t="shared" si="14"/>
        <v>100</v>
      </c>
      <c r="X34" s="1152"/>
      <c r="Y34" s="3725"/>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770"/>
      <c r="Q35" s="663" t="str">
        <f t="shared" si="11"/>
        <v>建筑品质</v>
      </c>
      <c r="R35" s="1158" t="s">
        <v>1149</v>
      </c>
      <c r="S35" s="1159">
        <f t="shared" si="12"/>
        <v>100</v>
      </c>
      <c r="T35" s="1158" t="s">
        <v>1149</v>
      </c>
      <c r="U35" s="1159">
        <f t="shared" si="13"/>
        <v>100</v>
      </c>
      <c r="V35" s="1158" t="s">
        <v>1149</v>
      </c>
      <c r="W35" s="1159">
        <f t="shared" si="14"/>
        <v>100</v>
      </c>
      <c r="X35" s="1152"/>
      <c r="Y35" s="3725"/>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770"/>
      <c r="Q36" s="663" t="str">
        <f t="shared" si="11"/>
        <v>公共部分装修</v>
      </c>
      <c r="R36" s="1158" t="s">
        <v>1149</v>
      </c>
      <c r="S36" s="1159">
        <f t="shared" si="12"/>
        <v>100</v>
      </c>
      <c r="T36" s="1158" t="s">
        <v>1149</v>
      </c>
      <c r="U36" s="1159">
        <f t="shared" si="13"/>
        <v>100</v>
      </c>
      <c r="V36" s="1158" t="s">
        <v>1149</v>
      </c>
      <c r="W36" s="1159">
        <f t="shared" si="14"/>
        <v>100</v>
      </c>
      <c r="X36" s="1152"/>
      <c r="Y36" s="3725"/>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770"/>
      <c r="Q37" s="1157" t="str">
        <f t="shared" si="11"/>
        <v>成新度</v>
      </c>
      <c r="R37" s="1153" t="s">
        <v>1149</v>
      </c>
      <c r="S37" s="1154">
        <f t="shared" si="12"/>
        <v>100</v>
      </c>
      <c r="T37" s="1153" t="s">
        <v>1149</v>
      </c>
      <c r="U37" s="1154">
        <f t="shared" si="13"/>
        <v>100</v>
      </c>
      <c r="V37" s="1153" t="s">
        <v>1149</v>
      </c>
      <c r="W37" s="1154">
        <f t="shared" si="14"/>
        <v>100</v>
      </c>
      <c r="X37" s="1155"/>
      <c r="Y37" s="3725"/>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770" t="s">
        <v>1175</v>
      </c>
      <c r="Q38" s="663" t="str">
        <f t="shared" si="11"/>
        <v>物业管理</v>
      </c>
      <c r="R38" s="1158" t="s">
        <v>1149</v>
      </c>
      <c r="S38" s="1159">
        <f t="shared" si="12"/>
        <v>100</v>
      </c>
      <c r="T38" s="1158" t="s">
        <v>1149</v>
      </c>
      <c r="U38" s="1159">
        <f t="shared" si="13"/>
        <v>100</v>
      </c>
      <c r="V38" s="1158" t="s">
        <v>1149</v>
      </c>
      <c r="W38" s="1159">
        <f t="shared" si="14"/>
        <v>100</v>
      </c>
      <c r="X38" s="1152"/>
      <c r="Y38" s="3725"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770"/>
      <c r="Q39" s="663" t="str">
        <f t="shared" si="11"/>
        <v>市政基础设施</v>
      </c>
      <c r="R39" s="1158" t="s">
        <v>1149</v>
      </c>
      <c r="S39" s="1159">
        <f t="shared" si="12"/>
        <v>100</v>
      </c>
      <c r="T39" s="1158" t="s">
        <v>1149</v>
      </c>
      <c r="U39" s="1159">
        <f t="shared" si="13"/>
        <v>100</v>
      </c>
      <c r="V39" s="1158" t="s">
        <v>1149</v>
      </c>
      <c r="W39" s="1159">
        <f t="shared" si="14"/>
        <v>100</v>
      </c>
      <c r="X39" s="1152"/>
      <c r="Y39" s="3725"/>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770"/>
      <c r="Q40" s="663" t="str">
        <f t="shared" si="11"/>
        <v>房型</v>
      </c>
      <c r="R40" s="1158" t="s">
        <v>1149</v>
      </c>
      <c r="S40" s="1159">
        <f t="shared" si="12"/>
        <v>100</v>
      </c>
      <c r="T40" s="1158" t="s">
        <v>1149</v>
      </c>
      <c r="U40" s="1159">
        <f t="shared" si="13"/>
        <v>100</v>
      </c>
      <c r="V40" s="1158" t="s">
        <v>1149</v>
      </c>
      <c r="W40" s="1159">
        <f t="shared" si="14"/>
        <v>100</v>
      </c>
      <c r="X40" s="1152"/>
      <c r="Y40" s="3725"/>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770"/>
      <c r="Q41" s="1650" t="str">
        <f t="shared" si="11"/>
        <v>单套/主力户型建筑面积</v>
      </c>
      <c r="R41" s="1160" t="s">
        <v>1149</v>
      </c>
      <c r="S41" s="1161">
        <f t="shared" si="12"/>
        <v>100</v>
      </c>
      <c r="T41" s="1160" t="s">
        <v>1149</v>
      </c>
      <c r="U41" s="1161">
        <f t="shared" si="13"/>
        <v>100</v>
      </c>
      <c r="V41" s="1160" t="s">
        <v>1149</v>
      </c>
      <c r="W41" s="1161">
        <f t="shared" si="14"/>
        <v>100</v>
      </c>
      <c r="X41" s="1162"/>
      <c r="Y41" s="3725"/>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770"/>
      <c r="Q42" s="663" t="str">
        <f t="shared" si="11"/>
        <v>内部装修</v>
      </c>
      <c r="R42" s="1158" t="s">
        <v>1149</v>
      </c>
      <c r="S42" s="1159">
        <f t="shared" si="12"/>
        <v>100</v>
      </c>
      <c r="T42" s="1158" t="s">
        <v>1149</v>
      </c>
      <c r="U42" s="1159">
        <f t="shared" si="13"/>
        <v>100</v>
      </c>
      <c r="V42" s="1158" t="s">
        <v>1149</v>
      </c>
      <c r="W42" s="1159">
        <f t="shared" si="14"/>
        <v>100</v>
      </c>
      <c r="X42" s="1152"/>
      <c r="Y42" s="3725"/>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770"/>
      <c r="Q43" s="663" t="str">
        <f t="shared" si="11"/>
        <v>内部装修维护情况</v>
      </c>
      <c r="R43" s="1158" t="s">
        <v>1149</v>
      </c>
      <c r="S43" s="1159">
        <f t="shared" si="12"/>
        <v>100</v>
      </c>
      <c r="T43" s="1158" t="s">
        <v>1149</v>
      </c>
      <c r="U43" s="1159">
        <f t="shared" si="13"/>
        <v>100</v>
      </c>
      <c r="V43" s="1158" t="s">
        <v>1149</v>
      </c>
      <c r="W43" s="1159">
        <f t="shared" si="14"/>
        <v>100</v>
      </c>
      <c r="X43" s="1152"/>
      <c r="Y43" s="3725"/>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770"/>
      <c r="Q44" s="1157">
        <f t="shared" si="11"/>
        <v>0</v>
      </c>
      <c r="R44" s="1153" t="s">
        <v>1149</v>
      </c>
      <c r="S44" s="1154">
        <f t="shared" si="12"/>
        <v>100</v>
      </c>
      <c r="T44" s="1153" t="s">
        <v>1149</v>
      </c>
      <c r="U44" s="1154">
        <f t="shared" si="13"/>
        <v>100</v>
      </c>
      <c r="V44" s="1153" t="s">
        <v>1149</v>
      </c>
      <c r="W44" s="1154">
        <f t="shared" si="14"/>
        <v>100</v>
      </c>
      <c r="X44" s="1155"/>
      <c r="Y44" s="3725"/>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770"/>
      <c r="Q45" s="663">
        <f t="shared" si="11"/>
        <v>0</v>
      </c>
      <c r="R45" s="1158" t="s">
        <v>1149</v>
      </c>
      <c r="S45" s="1159">
        <f t="shared" si="12"/>
        <v>100</v>
      </c>
      <c r="T45" s="1158" t="s">
        <v>1149</v>
      </c>
      <c r="U45" s="1159">
        <f t="shared" si="13"/>
        <v>100</v>
      </c>
      <c r="V45" s="1158" t="s">
        <v>1149</v>
      </c>
      <c r="W45" s="1159">
        <f t="shared" si="14"/>
        <v>100</v>
      </c>
      <c r="X45" s="1152"/>
      <c r="Y45" s="3725"/>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771"/>
      <c r="Q46" s="663">
        <f t="shared" si="11"/>
        <v>0</v>
      </c>
      <c r="R46" s="1158" t="s">
        <v>1149</v>
      </c>
      <c r="S46" s="1159">
        <f t="shared" si="12"/>
        <v>100</v>
      </c>
      <c r="T46" s="1158" t="s">
        <v>1149</v>
      </c>
      <c r="U46" s="1159">
        <f t="shared" si="13"/>
        <v>100</v>
      </c>
      <c r="V46" s="1158" t="s">
        <v>1149</v>
      </c>
      <c r="W46" s="1159">
        <f t="shared" si="14"/>
        <v>100</v>
      </c>
      <c r="X46" s="1152"/>
      <c r="Y46" s="3772"/>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02" t="str">
        <f>A47</f>
        <v>成交单价（元/平方米）</v>
      </c>
      <c r="Q47" s="3702"/>
      <c r="R47" s="3765">
        <f>E47</f>
        <v>74459</v>
      </c>
      <c r="S47" s="3765"/>
      <c r="T47" s="3765">
        <f>G47</f>
        <v>78267</v>
      </c>
      <c r="U47" s="3765"/>
      <c r="V47" s="3765">
        <f>I47</f>
        <v>78725</v>
      </c>
      <c r="W47" s="3765"/>
      <c r="X47" s="1098"/>
      <c r="Y47" s="1171"/>
      <c r="Z47" s="1098"/>
      <c r="AA47" s="1098"/>
      <c r="AB47" s="1098"/>
      <c r="AC47" s="1098"/>
    </row>
    <row r="48" spans="1:29" ht="15">
      <c r="A48" s="1049" t="s">
        <v>1186</v>
      </c>
      <c r="B48" s="1632"/>
      <c r="C48" s="1633">
        <f>R49</f>
        <v>73771</v>
      </c>
      <c r="D48" s="1052" t="s">
        <v>1187</v>
      </c>
      <c r="E48" s="1634">
        <f>R48</f>
        <v>72636</v>
      </c>
      <c r="F48" s="1053"/>
      <c r="G48" s="1633">
        <f>T48</f>
        <v>75228</v>
      </c>
      <c r="H48" s="1053"/>
      <c r="I48" s="1634">
        <f>V48</f>
        <v>73450</v>
      </c>
      <c r="J48" s="1053"/>
      <c r="K48" s="1963">
        <f>F48+H48+J48</f>
        <v>0</v>
      </c>
      <c r="L48" s="1134"/>
      <c r="M48" s="1058"/>
      <c r="N48" s="1058"/>
      <c r="O48" s="1058"/>
      <c r="P48" s="3702" t="str">
        <f>A48</f>
        <v>比较价值（元/平方米）</v>
      </c>
      <c r="Q48" s="3702"/>
      <c r="R48" s="3765">
        <f>IF(F1="售价",ROUND(PRODUCT(R47,AA7:AA46),0),ROUND(PRODUCT(R47,AA7:AA46),1))</f>
        <v>72636</v>
      </c>
      <c r="S48" s="3765"/>
      <c r="T48" s="3765">
        <f>IF(F1="售价",ROUND(PRODUCT(T47,AB7:AB46),0),ROUND(PRODUCT(T47,AB7:AB46),1))</f>
        <v>75228</v>
      </c>
      <c r="U48" s="3765"/>
      <c r="V48" s="3765">
        <f>IF(F1="售价",ROUND(PRODUCT(V47,AC7:AC46),0),ROUND(PRODUCT(V47,AC7:AC46),1))</f>
        <v>73450</v>
      </c>
      <c r="W48" s="3765"/>
      <c r="X48" s="1098"/>
      <c r="Y48" s="1098"/>
      <c r="Z48" s="1098"/>
      <c r="AA48" s="1098"/>
      <c r="AB48" s="1098"/>
      <c r="AC48" s="1098"/>
    </row>
    <row r="49" spans="1:29" ht="15">
      <c r="A49" s="1055" t="s">
        <v>1671</v>
      </c>
      <c r="B49" s="1056"/>
      <c r="C49" s="1945">
        <f>R49</f>
        <v>73771</v>
      </c>
      <c r="D49" s="1635"/>
      <c r="E49" s="1635"/>
      <c r="F49" s="1635"/>
      <c r="G49" s="1635"/>
      <c r="H49" s="1635"/>
      <c r="I49" s="1635"/>
      <c r="J49" s="1635"/>
      <c r="K49" s="1964"/>
      <c r="L49" s="1134"/>
      <c r="M49" s="1058"/>
      <c r="N49" s="1058"/>
      <c r="O49" s="1058"/>
      <c r="P49" s="3717" t="str">
        <f>A49</f>
        <v>估价对象XX用房的比较价值（楼面单价，元/平方米）</v>
      </c>
      <c r="Q49" s="3718"/>
      <c r="R49" s="3766">
        <f>IF(F1="售价",ROUND(IF(D48="简单平均",AVERAGE(R48:V48),R48*F48+T48*H48+V48*J48),0),ROUND(IF(D48="简单平均",AVERAGE(R48:V48),R48*F48+T48*H48+V48*J48),1))</f>
        <v>73771</v>
      </c>
      <c r="S49" s="3766"/>
      <c r="T49" s="3766"/>
      <c r="U49" s="3766"/>
      <c r="V49" s="3766"/>
      <c r="W49" s="376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2.5097747673330062E-2</v>
      </c>
      <c r="F52" s="1062" t="str">
        <f>IF(OR(E52&gt;=0.3,E52&lt;=-0.3),"超过30%","")</f>
        <v/>
      </c>
      <c r="G52" s="1061">
        <f>IF(G47&lt;G48,G48/G47-1,G47/G48-1)</f>
        <v>4.0397192534694426E-2</v>
      </c>
      <c r="H52" s="1062" t="str">
        <f>IF(OR(G52&gt;=0.3,G52&lt;=-0.3),"超过30%","")</f>
        <v/>
      </c>
      <c r="I52" s="1061">
        <f>IF(I47&lt;I48,I48/I47-1,I47/I48-1)</f>
        <v>7.1817562968005344E-2</v>
      </c>
      <c r="J52" s="1062" t="str">
        <f>IF(OR(I52&gt;=0.3,I52&lt;=-0.3),"超过30%","")</f>
        <v/>
      </c>
      <c r="K52" s="1138"/>
      <c r="L52" s="1139"/>
      <c r="M52" s="1058"/>
      <c r="N52" s="1058"/>
      <c r="O52" s="1058"/>
    </row>
    <row r="53" spans="1:29" ht="13.5" customHeight="1">
      <c r="A53" s="1058"/>
      <c r="B53" s="1058"/>
      <c r="C53" s="1060" t="s">
        <v>1190</v>
      </c>
      <c r="D53" s="706"/>
      <c r="E53" s="1061">
        <f>IF(E48&lt;G48,G48/E48-1,E48/G48-1)</f>
        <v>3.5684784404427461E-2</v>
      </c>
      <c r="F53" s="1062" t="str">
        <f>IF(OR(E53&gt;=0.2,E53&lt;=-0.2),"超过20%","")</f>
        <v/>
      </c>
      <c r="G53" s="1061">
        <f>IF(G48&lt;I48,I48/G48-1,G48/I48-1)</f>
        <v>2.4206943498978895E-2</v>
      </c>
      <c r="H53" s="1062" t="str">
        <f>IF(OR(G53&gt;=0.2,G53&lt;=-0.2),"超过20%","")</f>
        <v/>
      </c>
      <c r="I53" s="1061">
        <f>IF(I48&lt;E48,E48/I48-1,I48/E48-1)</f>
        <v>1.1206564238118943E-2</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c r="E68" s="989"/>
      <c r="F68" s="989"/>
      <c r="G68" s="989"/>
      <c r="H68" s="989"/>
      <c r="I68" s="989"/>
      <c r="J68" s="989"/>
      <c r="K68" s="1247"/>
      <c r="L68" s="1248"/>
      <c r="M68" s="1249"/>
      <c r="N68" s="1878"/>
      <c r="O68" s="1878"/>
      <c r="P68" s="1970"/>
      <c r="Q68" s="1873"/>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3336</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98</v>
      </c>
      <c r="E101" s="1196">
        <f t="shared" si="25"/>
        <v>96</v>
      </c>
      <c r="F101" s="1196">
        <f t="shared" si="25"/>
        <v>94</v>
      </c>
      <c r="G101" s="1196">
        <f t="shared" si="25"/>
        <v>92</v>
      </c>
      <c r="H101" s="1196">
        <f t="shared" si="25"/>
        <v>90</v>
      </c>
      <c r="I101" s="1196">
        <f t="shared" si="25"/>
        <v>88</v>
      </c>
      <c r="J101" s="1196">
        <f t="shared" si="25"/>
        <v>86</v>
      </c>
      <c r="K101" s="1196">
        <f t="shared" si="25"/>
        <v>84</v>
      </c>
      <c r="L101" s="1196">
        <f t="shared" si="25"/>
        <v>82</v>
      </c>
      <c r="M101" s="1196">
        <f t="shared" si="25"/>
        <v>80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3332</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3333</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3334</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29509.480000000025</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699" t="s">
        <v>1134</v>
      </c>
      <c r="D4" s="3732"/>
      <c r="E4" s="3733" t="s">
        <v>1135</v>
      </c>
      <c r="F4" s="3734"/>
      <c r="G4" s="3699" t="s">
        <v>1136</v>
      </c>
      <c r="H4" s="3732"/>
      <c r="I4" s="3699" t="s">
        <v>1137</v>
      </c>
      <c r="J4" s="3732"/>
      <c r="K4" s="1108" t="s">
        <v>1138</v>
      </c>
      <c r="L4" s="1109"/>
      <c r="M4" s="1110"/>
      <c r="N4" s="1110"/>
      <c r="O4" s="1110"/>
      <c r="P4" s="3703" t="s">
        <v>1139</v>
      </c>
      <c r="Q4" s="3704"/>
      <c r="R4" s="3709" t="s">
        <v>1135</v>
      </c>
      <c r="S4" s="3710"/>
      <c r="T4" s="3709" t="s">
        <v>1136</v>
      </c>
      <c r="U4" s="3710"/>
      <c r="V4" s="3715" t="s">
        <v>1137</v>
      </c>
      <c r="W4" s="3715"/>
      <c r="X4" s="1152"/>
      <c r="Y4" s="3709" t="s">
        <v>1139</v>
      </c>
      <c r="Z4" s="3710"/>
      <c r="AA4" s="3696" t="s">
        <v>1135</v>
      </c>
      <c r="AB4" s="3715" t="s">
        <v>1136</v>
      </c>
      <c r="AC4" s="3696" t="s">
        <v>1137</v>
      </c>
    </row>
    <row r="5" spans="1:29" ht="15">
      <c r="A5" s="963"/>
      <c r="B5" s="964"/>
      <c r="C5" s="3735" t="s">
        <v>1140</v>
      </c>
      <c r="D5" s="3736"/>
      <c r="E5" s="3737" t="s">
        <v>1141</v>
      </c>
      <c r="F5" s="3738"/>
      <c r="G5" s="3735" t="s">
        <v>1142</v>
      </c>
      <c r="H5" s="3736"/>
      <c r="I5" s="3735" t="s">
        <v>1143</v>
      </c>
      <c r="J5" s="3736"/>
      <c r="K5" s="1108"/>
      <c r="L5" s="1109"/>
      <c r="M5" s="1110"/>
      <c r="N5" s="1110"/>
      <c r="O5" s="1110"/>
      <c r="P5" s="3705"/>
      <c r="Q5" s="3706"/>
      <c r="R5" s="3711"/>
      <c r="S5" s="3712"/>
      <c r="T5" s="3711"/>
      <c r="U5" s="3712"/>
      <c r="V5" s="3715"/>
      <c r="W5" s="3715"/>
      <c r="X5" s="1152"/>
      <c r="Y5" s="3711"/>
      <c r="Z5" s="3712"/>
      <c r="AA5" s="3697"/>
      <c r="AB5" s="3715"/>
      <c r="AC5" s="3697"/>
    </row>
    <row r="6" spans="1:29" ht="15">
      <c r="A6" s="965"/>
      <c r="B6" s="966"/>
      <c r="C6" s="3726" t="s">
        <v>1144</v>
      </c>
      <c r="D6" s="3727"/>
      <c r="E6" s="3728" t="s">
        <v>1144</v>
      </c>
      <c r="F6" s="3729"/>
      <c r="G6" s="3726" t="s">
        <v>1144</v>
      </c>
      <c r="H6" s="3727"/>
      <c r="I6" s="3726" t="s">
        <v>1144</v>
      </c>
      <c r="J6" s="3727"/>
      <c r="K6" s="1108" t="s">
        <v>1146</v>
      </c>
      <c r="L6" s="1109"/>
      <c r="M6" s="1110"/>
      <c r="N6" s="1110"/>
      <c r="O6" s="1110"/>
      <c r="P6" s="3707"/>
      <c r="Q6" s="3708"/>
      <c r="R6" s="3711"/>
      <c r="S6" s="3712"/>
      <c r="T6" s="3713"/>
      <c r="U6" s="3714"/>
      <c r="V6" s="3715"/>
      <c r="W6" s="3715"/>
      <c r="X6" s="1152"/>
      <c r="Y6" s="3713"/>
      <c r="Z6" s="3714"/>
      <c r="AA6" s="3698"/>
      <c r="AB6" s="3715"/>
      <c r="AC6" s="3698"/>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20" t="s">
        <v>1148</v>
      </c>
      <c r="Q7" s="3731"/>
      <c r="R7" s="1153" t="s">
        <v>1149</v>
      </c>
      <c r="S7" s="1154">
        <f t="shared" ref="S7:S15" si="0">F7</f>
        <v>0</v>
      </c>
      <c r="T7" s="1153" t="s">
        <v>1149</v>
      </c>
      <c r="U7" s="1154">
        <f t="shared" ref="U7:U15" si="1">H7</f>
        <v>0</v>
      </c>
      <c r="V7" s="1153" t="s">
        <v>1149</v>
      </c>
      <c r="W7" s="1154">
        <f t="shared" ref="W7:W15" si="2">J7</f>
        <v>0</v>
      </c>
      <c r="X7" s="1155"/>
      <c r="Y7" s="3720" t="s">
        <v>1148</v>
      </c>
      <c r="Z7" s="3721"/>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20" t="s">
        <v>1152</v>
      </c>
      <c r="Q8" s="3721"/>
      <c r="R8" s="1153" t="s">
        <v>1149</v>
      </c>
      <c r="S8" s="1154">
        <f t="shared" si="0"/>
        <v>100</v>
      </c>
      <c r="T8" s="1153" t="s">
        <v>1149</v>
      </c>
      <c r="U8" s="1154">
        <f t="shared" si="1"/>
        <v>100</v>
      </c>
      <c r="V8" s="1153" t="s">
        <v>1149</v>
      </c>
      <c r="W8" s="1154">
        <f t="shared" si="2"/>
        <v>100</v>
      </c>
      <c r="X8" s="1155"/>
      <c r="Y8" s="3720" t="s">
        <v>1152</v>
      </c>
      <c r="Z8" s="3721"/>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01" t="s">
        <v>1155</v>
      </c>
      <c r="Q9" s="1157" t="str">
        <f t="shared" ref="Q9:Q15" si="6">B9</f>
        <v>用途</v>
      </c>
      <c r="R9" s="1153" t="s">
        <v>1149</v>
      </c>
      <c r="S9" s="1154">
        <f t="shared" si="0"/>
        <v>100</v>
      </c>
      <c r="T9" s="1153" t="s">
        <v>1149</v>
      </c>
      <c r="U9" s="1154">
        <f t="shared" si="1"/>
        <v>100</v>
      </c>
      <c r="V9" s="1153" t="s">
        <v>1149</v>
      </c>
      <c r="W9" s="1154">
        <f t="shared" si="2"/>
        <v>100</v>
      </c>
      <c r="X9" s="1155"/>
      <c r="Y9" s="3608"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01"/>
      <c r="Q10" s="1157" t="str">
        <f t="shared" si="6"/>
        <v>土地使用年限（年）</v>
      </c>
      <c r="R10" s="1153" t="s">
        <v>1149</v>
      </c>
      <c r="S10" s="1154">
        <f t="shared" si="0"/>
        <v>100</v>
      </c>
      <c r="T10" s="1153" t="s">
        <v>1149</v>
      </c>
      <c r="U10" s="1154">
        <f t="shared" si="1"/>
        <v>100</v>
      </c>
      <c r="V10" s="1153" t="s">
        <v>1149</v>
      </c>
      <c r="W10" s="1154">
        <f t="shared" si="2"/>
        <v>100</v>
      </c>
      <c r="X10" s="1155"/>
      <c r="Y10" s="3608"/>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01"/>
      <c r="Q11" s="1157" t="str">
        <f t="shared" si="6"/>
        <v>容积率</v>
      </c>
      <c r="R11" s="1153" t="s">
        <v>1149</v>
      </c>
      <c r="S11" s="1154" t="e">
        <f t="shared" si="0"/>
        <v>#N/A</v>
      </c>
      <c r="T11" s="1153" t="s">
        <v>1149</v>
      </c>
      <c r="U11" s="1154" t="e">
        <f t="shared" si="1"/>
        <v>#N/A</v>
      </c>
      <c r="V11" s="1153" t="s">
        <v>1149</v>
      </c>
      <c r="W11" s="1154" t="e">
        <f t="shared" si="2"/>
        <v>#N/A</v>
      </c>
      <c r="X11" s="1155"/>
      <c r="Y11" s="3608"/>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01"/>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01"/>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01"/>
      <c r="Q14" s="1157">
        <f t="shared" si="6"/>
        <v>111</v>
      </c>
      <c r="R14" s="1153" t="s">
        <v>1149</v>
      </c>
      <c r="S14" s="1154">
        <f t="shared" si="0"/>
        <v>100</v>
      </c>
      <c r="T14" s="1153" t="s">
        <v>1149</v>
      </c>
      <c r="U14" s="1154">
        <f t="shared" si="1"/>
        <v>100</v>
      </c>
      <c r="V14" s="1153" t="s">
        <v>1149</v>
      </c>
      <c r="W14" s="1154">
        <f t="shared" si="2"/>
        <v>100</v>
      </c>
      <c r="X14" s="1155"/>
      <c r="Y14" s="3608"/>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67" t="s">
        <v>1162</v>
      </c>
      <c r="Q15" s="663" t="str">
        <f t="shared" si="6"/>
        <v>商业繁华度</v>
      </c>
      <c r="R15" s="1158" t="s">
        <v>1149</v>
      </c>
      <c r="S15" s="1159">
        <f t="shared" si="0"/>
        <v>100</v>
      </c>
      <c r="T15" s="1158" t="s">
        <v>1149</v>
      </c>
      <c r="U15" s="1159">
        <f t="shared" si="1"/>
        <v>100</v>
      </c>
      <c r="V15" s="1158" t="s">
        <v>1149</v>
      </c>
      <c r="W15" s="1159">
        <f t="shared" si="2"/>
        <v>100</v>
      </c>
      <c r="X15" s="1152"/>
      <c r="Y15" s="3722"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768"/>
      <c r="Q16" s="663"/>
      <c r="R16" s="1158"/>
      <c r="S16" s="1159"/>
      <c r="T16" s="1158"/>
      <c r="U16" s="1159"/>
      <c r="V16" s="1158"/>
      <c r="W16" s="1159"/>
      <c r="X16" s="1152"/>
      <c r="Y16" s="3723"/>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768"/>
      <c r="Q17" s="663" t="str">
        <f>B17</f>
        <v>交通便捷度</v>
      </c>
      <c r="R17" s="1158" t="s">
        <v>1149</v>
      </c>
      <c r="S17" s="1159">
        <f>F17</f>
        <v>100</v>
      </c>
      <c r="T17" s="1158" t="s">
        <v>1149</v>
      </c>
      <c r="U17" s="1159">
        <f>H17</f>
        <v>100</v>
      </c>
      <c r="V17" s="1158" t="s">
        <v>1149</v>
      </c>
      <c r="W17" s="1159">
        <f>J17</f>
        <v>100</v>
      </c>
      <c r="X17" s="1152"/>
      <c r="Y17" s="3723"/>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768"/>
      <c r="Q18" s="663"/>
      <c r="R18" s="1158"/>
      <c r="S18" s="1159"/>
      <c r="T18" s="1158"/>
      <c r="U18" s="1159"/>
      <c r="V18" s="1158"/>
      <c r="W18" s="1159"/>
      <c r="X18" s="1152"/>
      <c r="Y18" s="3723"/>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768"/>
      <c r="Q19" s="663" t="str">
        <f>B19</f>
        <v>公共配套设施</v>
      </c>
      <c r="R19" s="1158" t="s">
        <v>1149</v>
      </c>
      <c r="S19" s="1159">
        <f>F19</f>
        <v>100</v>
      </c>
      <c r="T19" s="1158" t="s">
        <v>1149</v>
      </c>
      <c r="U19" s="1159">
        <f>H19</f>
        <v>100</v>
      </c>
      <c r="V19" s="1158" t="s">
        <v>1149</v>
      </c>
      <c r="W19" s="1159">
        <f>J19</f>
        <v>100</v>
      </c>
      <c r="X19" s="1152"/>
      <c r="Y19" s="3723"/>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768"/>
      <c r="Q20" s="663"/>
      <c r="R20" s="1158"/>
      <c r="S20" s="1159"/>
      <c r="T20" s="1158"/>
      <c r="U20" s="1159"/>
      <c r="V20" s="1158"/>
      <c r="W20" s="1159"/>
      <c r="X20" s="1152"/>
      <c r="Y20" s="3723"/>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768"/>
      <c r="Q21" s="663" t="str">
        <f>B21</f>
        <v>基础设施水平</v>
      </c>
      <c r="R21" s="1158" t="s">
        <v>1149</v>
      </c>
      <c r="S21" s="1159">
        <f>F21</f>
        <v>100</v>
      </c>
      <c r="T21" s="1158" t="s">
        <v>1149</v>
      </c>
      <c r="U21" s="1159">
        <f>H21</f>
        <v>100</v>
      </c>
      <c r="V21" s="1158" t="s">
        <v>1149</v>
      </c>
      <c r="W21" s="1159">
        <f>J21</f>
        <v>100</v>
      </c>
      <c r="X21" s="1152"/>
      <c r="Y21" s="3723"/>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768"/>
      <c r="Q22" s="663"/>
      <c r="R22" s="1158"/>
      <c r="S22" s="1159"/>
      <c r="T22" s="1158"/>
      <c r="U22" s="1159"/>
      <c r="V22" s="1158"/>
      <c r="W22" s="1159"/>
      <c r="X22" s="1152"/>
      <c r="Y22" s="3723"/>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768"/>
      <c r="Q23" s="663" t="str">
        <f>B23</f>
        <v>自然及人文环境</v>
      </c>
      <c r="R23" s="1158" t="s">
        <v>1149</v>
      </c>
      <c r="S23" s="1159">
        <f>F23</f>
        <v>100</v>
      </c>
      <c r="T23" s="1158" t="s">
        <v>1149</v>
      </c>
      <c r="U23" s="1159">
        <f>H23</f>
        <v>100</v>
      </c>
      <c r="V23" s="1158" t="s">
        <v>1149</v>
      </c>
      <c r="W23" s="1159">
        <f>J23</f>
        <v>100</v>
      </c>
      <c r="X23" s="1152"/>
      <c r="Y23" s="3723"/>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768"/>
      <c r="Q24" s="663"/>
      <c r="R24" s="1158"/>
      <c r="S24" s="1159"/>
      <c r="T24" s="1158"/>
      <c r="U24" s="1159"/>
      <c r="V24" s="1158"/>
      <c r="W24" s="1159"/>
      <c r="X24" s="1152"/>
      <c r="Y24" s="3723"/>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768"/>
      <c r="Q25" s="663" t="str">
        <f t="shared" ref="Q25:Q46" si="11">B25</f>
        <v>临街状况</v>
      </c>
      <c r="R25" s="1158" t="s">
        <v>1149</v>
      </c>
      <c r="S25" s="1159">
        <f>F25</f>
        <v>100</v>
      </c>
      <c r="T25" s="1158" t="s">
        <v>1149</v>
      </c>
      <c r="U25" s="1159">
        <f>H25</f>
        <v>100</v>
      </c>
      <c r="V25" s="1158" t="s">
        <v>1149</v>
      </c>
      <c r="W25" s="1159">
        <f>J25</f>
        <v>100</v>
      </c>
      <c r="X25" s="1152"/>
      <c r="Y25" s="3723"/>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768"/>
      <c r="Q26" s="663" t="str">
        <f t="shared" si="11"/>
        <v>平面位置/可视性</v>
      </c>
      <c r="R26" s="1158" t="s">
        <v>1149</v>
      </c>
      <c r="S26" s="1159">
        <f>F26</f>
        <v>100</v>
      </c>
      <c r="T26" s="1158" t="s">
        <v>1149</v>
      </c>
      <c r="U26" s="1159">
        <f>H26</f>
        <v>100</v>
      </c>
      <c r="V26" s="1158" t="s">
        <v>1149</v>
      </c>
      <c r="W26" s="1159">
        <f>J26</f>
        <v>100</v>
      </c>
      <c r="X26" s="1152"/>
      <c r="Y26" s="3723"/>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768"/>
      <c r="Q27" s="1157" t="str">
        <f t="shared" si="11"/>
        <v>人流量</v>
      </c>
      <c r="R27" s="1153" t="s">
        <v>1149</v>
      </c>
      <c r="S27" s="1154">
        <f>F27</f>
        <v>100</v>
      </c>
      <c r="T27" s="1153" t="s">
        <v>1149</v>
      </c>
      <c r="U27" s="1154">
        <f>H27</f>
        <v>100</v>
      </c>
      <c r="V27" s="1153" t="s">
        <v>1149</v>
      </c>
      <c r="W27" s="1154">
        <f>J27</f>
        <v>100</v>
      </c>
      <c r="X27" s="1155"/>
      <c r="Y27" s="3723"/>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768"/>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23"/>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768"/>
      <c r="Q29" s="663">
        <f t="shared" si="11"/>
        <v>111</v>
      </c>
      <c r="R29" s="1158" t="s">
        <v>1149</v>
      </c>
      <c r="S29" s="1159">
        <f t="shared" si="12"/>
        <v>100</v>
      </c>
      <c r="T29" s="1158" t="s">
        <v>1149</v>
      </c>
      <c r="U29" s="1159">
        <f t="shared" si="13"/>
        <v>100</v>
      </c>
      <c r="V29" s="1158" t="s">
        <v>1149</v>
      </c>
      <c r="W29" s="1159">
        <f t="shared" si="14"/>
        <v>100</v>
      </c>
      <c r="X29" s="1152"/>
      <c r="Y29" s="3723"/>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768"/>
      <c r="Q30" s="663">
        <f t="shared" si="11"/>
        <v>111</v>
      </c>
      <c r="R30" s="1158" t="s">
        <v>1149</v>
      </c>
      <c r="S30" s="1159">
        <f t="shared" si="12"/>
        <v>100</v>
      </c>
      <c r="T30" s="1158" t="s">
        <v>1149</v>
      </c>
      <c r="U30" s="1159">
        <f t="shared" si="13"/>
        <v>100</v>
      </c>
      <c r="V30" s="1158" t="s">
        <v>1149</v>
      </c>
      <c r="W30" s="1159">
        <f t="shared" si="14"/>
        <v>100</v>
      </c>
      <c r="X30" s="1152"/>
      <c r="Y30" s="3723"/>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768"/>
      <c r="Q31" s="663">
        <f t="shared" si="11"/>
        <v>111</v>
      </c>
      <c r="R31" s="1158" t="s">
        <v>1149</v>
      </c>
      <c r="S31" s="1159">
        <f t="shared" si="12"/>
        <v>100</v>
      </c>
      <c r="T31" s="1158" t="s">
        <v>1149</v>
      </c>
      <c r="U31" s="1159">
        <f t="shared" si="13"/>
        <v>100</v>
      </c>
      <c r="V31" s="1158" t="s">
        <v>1149</v>
      </c>
      <c r="W31" s="1159">
        <f t="shared" si="14"/>
        <v>100</v>
      </c>
      <c r="X31" s="1152"/>
      <c r="Y31" s="3723"/>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769" t="s">
        <v>1175</v>
      </c>
      <c r="Q32" s="663" t="str">
        <f t="shared" si="11"/>
        <v>商业类型</v>
      </c>
      <c r="R32" s="1158" t="s">
        <v>1149</v>
      </c>
      <c r="S32" s="1159">
        <f t="shared" si="12"/>
        <v>100</v>
      </c>
      <c r="T32" s="1158" t="s">
        <v>1149</v>
      </c>
      <c r="U32" s="1159">
        <f t="shared" si="13"/>
        <v>100</v>
      </c>
      <c r="V32" s="1158" t="s">
        <v>1149</v>
      </c>
      <c r="W32" s="1159">
        <f t="shared" si="14"/>
        <v>100</v>
      </c>
      <c r="X32" s="1152"/>
      <c r="Y32" s="3725"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770"/>
      <c r="Q33" s="1650" t="str">
        <f t="shared" si="11"/>
        <v>项目建筑规模</v>
      </c>
      <c r="R33" s="1160" t="s">
        <v>1149</v>
      </c>
      <c r="S33" s="1161" t="e">
        <f t="shared" si="12"/>
        <v>#N/A</v>
      </c>
      <c r="T33" s="1160" t="s">
        <v>1149</v>
      </c>
      <c r="U33" s="1161" t="e">
        <f t="shared" si="13"/>
        <v>#N/A</v>
      </c>
      <c r="V33" s="1160" t="s">
        <v>1149</v>
      </c>
      <c r="W33" s="1161" t="e">
        <f t="shared" si="14"/>
        <v>#N/A</v>
      </c>
      <c r="X33" s="1162"/>
      <c r="Y33" s="3725"/>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770"/>
      <c r="Q34" s="663" t="str">
        <f t="shared" si="11"/>
        <v>建筑结构</v>
      </c>
      <c r="R34" s="1158" t="s">
        <v>1149</v>
      </c>
      <c r="S34" s="1159">
        <f t="shared" si="12"/>
        <v>100</v>
      </c>
      <c r="T34" s="1158" t="s">
        <v>1149</v>
      </c>
      <c r="U34" s="1159">
        <f t="shared" si="13"/>
        <v>100</v>
      </c>
      <c r="V34" s="1158" t="s">
        <v>1149</v>
      </c>
      <c r="W34" s="1159">
        <f t="shared" si="14"/>
        <v>100</v>
      </c>
      <c r="X34" s="1152"/>
      <c r="Y34" s="3725"/>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770"/>
      <c r="Q35" s="663" t="str">
        <f t="shared" si="11"/>
        <v>公共部分装修</v>
      </c>
      <c r="R35" s="1158" t="s">
        <v>1149</v>
      </c>
      <c r="S35" s="1159">
        <f t="shared" si="12"/>
        <v>100</v>
      </c>
      <c r="T35" s="1158" t="s">
        <v>1149</v>
      </c>
      <c r="U35" s="1159">
        <f t="shared" si="13"/>
        <v>100</v>
      </c>
      <c r="V35" s="1158" t="s">
        <v>1149</v>
      </c>
      <c r="W35" s="1159">
        <f t="shared" si="14"/>
        <v>100</v>
      </c>
      <c r="X35" s="1152"/>
      <c r="Y35" s="3725"/>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770"/>
      <c r="Q36" s="663" t="str">
        <f t="shared" si="11"/>
        <v>成新度</v>
      </c>
      <c r="R36" s="1158" t="s">
        <v>1149</v>
      </c>
      <c r="S36" s="1159" t="e">
        <f t="shared" si="12"/>
        <v>#N/A</v>
      </c>
      <c r="T36" s="1158" t="s">
        <v>1149</v>
      </c>
      <c r="U36" s="1159" t="e">
        <f t="shared" si="13"/>
        <v>#N/A</v>
      </c>
      <c r="V36" s="1158" t="s">
        <v>1149</v>
      </c>
      <c r="W36" s="1159" t="e">
        <f t="shared" si="14"/>
        <v>#N/A</v>
      </c>
      <c r="X36" s="1152"/>
      <c r="Y36" s="3725"/>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70"/>
      <c r="Q37" s="1157" t="str">
        <f t="shared" si="11"/>
        <v>市政基础设施</v>
      </c>
      <c r="R37" s="1153" t="s">
        <v>1149</v>
      </c>
      <c r="S37" s="1154">
        <f t="shared" si="12"/>
        <v>100</v>
      </c>
      <c r="T37" s="1153" t="s">
        <v>1149</v>
      </c>
      <c r="U37" s="1154">
        <f t="shared" si="13"/>
        <v>100</v>
      </c>
      <c r="V37" s="1153" t="s">
        <v>1149</v>
      </c>
      <c r="W37" s="1154">
        <f t="shared" si="14"/>
        <v>100</v>
      </c>
      <c r="X37" s="1155"/>
      <c r="Y37" s="3725"/>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770" t="s">
        <v>1175</v>
      </c>
      <c r="Q38" s="663" t="str">
        <f t="shared" si="11"/>
        <v>业态</v>
      </c>
      <c r="R38" s="1158" t="s">
        <v>1149</v>
      </c>
      <c r="S38" s="1159">
        <f t="shared" si="12"/>
        <v>100</v>
      </c>
      <c r="T38" s="1158" t="s">
        <v>1149</v>
      </c>
      <c r="U38" s="1159">
        <f t="shared" si="13"/>
        <v>100</v>
      </c>
      <c r="V38" s="1158" t="s">
        <v>1149</v>
      </c>
      <c r="W38" s="1159">
        <f t="shared" si="14"/>
        <v>100</v>
      </c>
      <c r="X38" s="1152"/>
      <c r="Y38" s="3725"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770"/>
      <c r="Q39" s="663" t="str">
        <f t="shared" si="11"/>
        <v>层高</v>
      </c>
      <c r="R39" s="1158" t="s">
        <v>1149</v>
      </c>
      <c r="S39" s="1159">
        <f t="shared" si="12"/>
        <v>100</v>
      </c>
      <c r="T39" s="1158" t="s">
        <v>1149</v>
      </c>
      <c r="U39" s="1159">
        <f t="shared" si="13"/>
        <v>100</v>
      </c>
      <c r="V39" s="1158" t="s">
        <v>1149</v>
      </c>
      <c r="W39" s="1159">
        <f t="shared" si="14"/>
        <v>100</v>
      </c>
      <c r="X39" s="1152"/>
      <c r="Y39" s="3725"/>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770"/>
      <c r="Q40" s="663" t="str">
        <f t="shared" si="11"/>
        <v>单套建筑面积</v>
      </c>
      <c r="R40" s="1158" t="s">
        <v>1149</v>
      </c>
      <c r="S40" s="1159">
        <f t="shared" si="12"/>
        <v>100</v>
      </c>
      <c r="T40" s="1158" t="s">
        <v>1149</v>
      </c>
      <c r="U40" s="1159">
        <f t="shared" si="13"/>
        <v>100</v>
      </c>
      <c r="V40" s="1158" t="s">
        <v>1149</v>
      </c>
      <c r="W40" s="1159">
        <f t="shared" si="14"/>
        <v>100</v>
      </c>
      <c r="X40" s="1152"/>
      <c r="Y40" s="3725"/>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70"/>
      <c r="Q41" s="1650" t="str">
        <f t="shared" si="11"/>
        <v>进深比</v>
      </c>
      <c r="R41" s="1160" t="s">
        <v>1149</v>
      </c>
      <c r="S41" s="1161">
        <f t="shared" si="12"/>
        <v>100</v>
      </c>
      <c r="T41" s="1160" t="s">
        <v>1149</v>
      </c>
      <c r="U41" s="1161">
        <f t="shared" si="13"/>
        <v>100</v>
      </c>
      <c r="V41" s="1160" t="s">
        <v>1149</v>
      </c>
      <c r="W41" s="1161">
        <f t="shared" si="14"/>
        <v>100</v>
      </c>
      <c r="X41" s="1162"/>
      <c r="Y41" s="3725"/>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770"/>
      <c r="Q42" s="663" t="str">
        <f t="shared" si="11"/>
        <v>内部装修</v>
      </c>
      <c r="R42" s="1158" t="s">
        <v>1149</v>
      </c>
      <c r="S42" s="1159">
        <f t="shared" si="12"/>
        <v>100</v>
      </c>
      <c r="T42" s="1158" t="s">
        <v>1149</v>
      </c>
      <c r="U42" s="1159">
        <f t="shared" si="13"/>
        <v>100</v>
      </c>
      <c r="V42" s="1158" t="s">
        <v>1149</v>
      </c>
      <c r="W42" s="1159">
        <f t="shared" si="14"/>
        <v>100</v>
      </c>
      <c r="X42" s="1152"/>
      <c r="Y42" s="3725"/>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770"/>
      <c r="Q43" s="663" t="str">
        <f t="shared" si="11"/>
        <v>内部装修维护情况</v>
      </c>
      <c r="R43" s="1158" t="s">
        <v>1149</v>
      </c>
      <c r="S43" s="1159">
        <f t="shared" si="12"/>
        <v>100</v>
      </c>
      <c r="T43" s="1158" t="s">
        <v>1149</v>
      </c>
      <c r="U43" s="1159">
        <f t="shared" si="13"/>
        <v>100</v>
      </c>
      <c r="V43" s="1158" t="s">
        <v>1149</v>
      </c>
      <c r="W43" s="1159">
        <f t="shared" si="14"/>
        <v>100</v>
      </c>
      <c r="X43" s="1152"/>
      <c r="Y43" s="3725"/>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770"/>
      <c r="Q44" s="1157">
        <f t="shared" si="11"/>
        <v>111</v>
      </c>
      <c r="R44" s="1153" t="s">
        <v>1149</v>
      </c>
      <c r="S44" s="1154">
        <f t="shared" si="12"/>
        <v>100</v>
      </c>
      <c r="T44" s="1153" t="s">
        <v>1149</v>
      </c>
      <c r="U44" s="1154">
        <f t="shared" si="13"/>
        <v>100</v>
      </c>
      <c r="V44" s="1153" t="s">
        <v>1149</v>
      </c>
      <c r="W44" s="1154">
        <f t="shared" si="14"/>
        <v>100</v>
      </c>
      <c r="X44" s="1155"/>
      <c r="Y44" s="3725"/>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70"/>
      <c r="Q45" s="663">
        <f t="shared" si="11"/>
        <v>111</v>
      </c>
      <c r="R45" s="1158" t="s">
        <v>1149</v>
      </c>
      <c r="S45" s="1159">
        <f t="shared" si="12"/>
        <v>100</v>
      </c>
      <c r="T45" s="1158" t="s">
        <v>1149</v>
      </c>
      <c r="U45" s="1159">
        <f t="shared" si="13"/>
        <v>100</v>
      </c>
      <c r="V45" s="1158" t="s">
        <v>1149</v>
      </c>
      <c r="W45" s="1159">
        <f t="shared" si="14"/>
        <v>100</v>
      </c>
      <c r="X45" s="1152"/>
      <c r="Y45" s="3725"/>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71"/>
      <c r="Q46" s="663">
        <f t="shared" si="11"/>
        <v>111</v>
      </c>
      <c r="R46" s="1158" t="s">
        <v>1149</v>
      </c>
      <c r="S46" s="1159">
        <f t="shared" si="12"/>
        <v>100</v>
      </c>
      <c r="T46" s="1158" t="s">
        <v>1149</v>
      </c>
      <c r="U46" s="1159">
        <f t="shared" si="13"/>
        <v>100</v>
      </c>
      <c r="V46" s="1158" t="s">
        <v>1149</v>
      </c>
      <c r="W46" s="1159">
        <f t="shared" si="14"/>
        <v>100</v>
      </c>
      <c r="X46" s="1152"/>
      <c r="Y46" s="3772"/>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02" t="str">
        <f>A47</f>
        <v>成交单价（元/平方米）</v>
      </c>
      <c r="Q47" s="3702"/>
      <c r="R47" s="3715">
        <f>E47</f>
        <v>0</v>
      </c>
      <c r="S47" s="3715"/>
      <c r="T47" s="3715">
        <f>G47</f>
        <v>0</v>
      </c>
      <c r="U47" s="3715"/>
      <c r="V47" s="3715">
        <f>I47</f>
        <v>0</v>
      </c>
      <c r="W47" s="3715"/>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02" t="str">
        <f>A48</f>
        <v>比较价值（元/平方米）</v>
      </c>
      <c r="Q48" s="3702"/>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17" t="str">
        <f>A49</f>
        <v>估价对象XX用房的比较价值（楼面单价，元/平方米）</v>
      </c>
      <c r="Q49" s="3718"/>
      <c r="R49" s="3766" t="e">
        <f>IF(F1="售价",ROUND(IF(D48="简单平均",AVERAGE(R48:V48),R48*F48+T48*H48+V48*J48),0),ROUND(IF(D48="简单平均",AVERAGE(R48:V48),R48*F48+T48*H48+V48*J48),1))</f>
        <v>#DIV/0!</v>
      </c>
      <c r="S49" s="3766"/>
      <c r="T49" s="3766"/>
      <c r="U49" s="3766"/>
      <c r="V49" s="3766"/>
      <c r="W49" s="376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29509.480000000025</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699" t="s">
        <v>1134</v>
      </c>
      <c r="D4" s="3732"/>
      <c r="E4" s="3733" t="s">
        <v>1135</v>
      </c>
      <c r="F4" s="3734"/>
      <c r="G4" s="3699" t="s">
        <v>1136</v>
      </c>
      <c r="H4" s="3732"/>
      <c r="I4" s="3699" t="s">
        <v>1137</v>
      </c>
      <c r="J4" s="3732"/>
      <c r="K4" s="1108" t="s">
        <v>1138</v>
      </c>
      <c r="L4" s="1109"/>
      <c r="M4" s="1110"/>
      <c r="N4" s="1110"/>
      <c r="O4" s="1110"/>
      <c r="P4" s="3779" t="s">
        <v>1139</v>
      </c>
      <c r="Q4" s="3780"/>
      <c r="R4" s="3783" t="s">
        <v>1135</v>
      </c>
      <c r="S4" s="3784"/>
      <c r="T4" s="3783" t="s">
        <v>1136</v>
      </c>
      <c r="U4" s="3784"/>
      <c r="V4" s="3785" t="s">
        <v>1137</v>
      </c>
      <c r="W4" s="3785"/>
      <c r="X4" s="1902"/>
      <c r="Y4" s="3783" t="s">
        <v>1139</v>
      </c>
      <c r="Z4" s="3784"/>
      <c r="AA4" s="3775" t="s">
        <v>1135</v>
      </c>
      <c r="AB4" s="3775" t="s">
        <v>1136</v>
      </c>
      <c r="AC4" s="3776" t="s">
        <v>1137</v>
      </c>
    </row>
    <row r="5" spans="1:29" ht="15">
      <c r="A5" s="963"/>
      <c r="B5" s="964"/>
      <c r="C5" s="3735" t="s">
        <v>1140</v>
      </c>
      <c r="D5" s="3736"/>
      <c r="E5" s="3737" t="s">
        <v>1141</v>
      </c>
      <c r="F5" s="3738"/>
      <c r="G5" s="3735" t="s">
        <v>1142</v>
      </c>
      <c r="H5" s="3736"/>
      <c r="I5" s="3735" t="s">
        <v>1143</v>
      </c>
      <c r="J5" s="3736"/>
      <c r="K5" s="1108"/>
      <c r="L5" s="1109"/>
      <c r="M5" s="1110"/>
      <c r="N5" s="1110"/>
      <c r="O5" s="1110"/>
      <c r="P5" s="3781"/>
      <c r="Q5" s="3706"/>
      <c r="R5" s="3711"/>
      <c r="S5" s="3712"/>
      <c r="T5" s="3711"/>
      <c r="U5" s="3712"/>
      <c r="V5" s="3715"/>
      <c r="W5" s="3715"/>
      <c r="X5" s="1152"/>
      <c r="Y5" s="3711"/>
      <c r="Z5" s="3712"/>
      <c r="AA5" s="3697"/>
      <c r="AB5" s="3697"/>
      <c r="AC5" s="3777"/>
    </row>
    <row r="6" spans="1:29" ht="15">
      <c r="A6" s="965"/>
      <c r="B6" s="966"/>
      <c r="C6" s="3726" t="s">
        <v>1144</v>
      </c>
      <c r="D6" s="3727"/>
      <c r="E6" s="3728" t="s">
        <v>1144</v>
      </c>
      <c r="F6" s="3729"/>
      <c r="G6" s="3726" t="s">
        <v>1144</v>
      </c>
      <c r="H6" s="3727"/>
      <c r="I6" s="3726" t="s">
        <v>1144</v>
      </c>
      <c r="J6" s="3727"/>
      <c r="K6" s="1108" t="s">
        <v>1146</v>
      </c>
      <c r="L6" s="1109"/>
      <c r="M6" s="1110"/>
      <c r="N6" s="1110"/>
      <c r="O6" s="1110"/>
      <c r="P6" s="3782"/>
      <c r="Q6" s="3708"/>
      <c r="R6" s="3711"/>
      <c r="S6" s="3712"/>
      <c r="T6" s="3713"/>
      <c r="U6" s="3714"/>
      <c r="V6" s="3715"/>
      <c r="W6" s="3715"/>
      <c r="X6" s="1152"/>
      <c r="Y6" s="3713"/>
      <c r="Z6" s="3714"/>
      <c r="AA6" s="3698"/>
      <c r="AB6" s="3698"/>
      <c r="AC6" s="3778"/>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89" t="s">
        <v>1148</v>
      </c>
      <c r="Q7" s="3731"/>
      <c r="R7" s="1153" t="s">
        <v>1149</v>
      </c>
      <c r="S7" s="1154">
        <f t="shared" ref="S7:S15" si="0">F7</f>
        <v>0</v>
      </c>
      <c r="T7" s="1153" t="s">
        <v>1149</v>
      </c>
      <c r="U7" s="1154">
        <f t="shared" ref="U7:U15" si="1">H7</f>
        <v>0</v>
      </c>
      <c r="V7" s="1153" t="s">
        <v>1149</v>
      </c>
      <c r="W7" s="1154">
        <f t="shared" ref="W7:W15" si="2">J7</f>
        <v>0</v>
      </c>
      <c r="X7" s="1155"/>
      <c r="Y7" s="3720" t="s">
        <v>1148</v>
      </c>
      <c r="Z7" s="3721"/>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89" t="s">
        <v>1152</v>
      </c>
      <c r="Q8" s="3721"/>
      <c r="R8" s="1153" t="s">
        <v>1149</v>
      </c>
      <c r="S8" s="1154">
        <f t="shared" si="0"/>
        <v>100</v>
      </c>
      <c r="T8" s="1153" t="s">
        <v>1149</v>
      </c>
      <c r="U8" s="1154">
        <f t="shared" si="1"/>
        <v>100</v>
      </c>
      <c r="V8" s="1153" t="s">
        <v>1149</v>
      </c>
      <c r="W8" s="1154">
        <f t="shared" si="2"/>
        <v>100</v>
      </c>
      <c r="X8" s="1155"/>
      <c r="Y8" s="3720" t="s">
        <v>1152</v>
      </c>
      <c r="Z8" s="3721"/>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01" t="s">
        <v>1155</v>
      </c>
      <c r="Q9" s="1157" t="str">
        <f t="shared" ref="Q9:Q15" si="6">B9</f>
        <v>用途</v>
      </c>
      <c r="R9" s="1153" t="s">
        <v>1149</v>
      </c>
      <c r="S9" s="1154">
        <f t="shared" si="0"/>
        <v>100</v>
      </c>
      <c r="T9" s="1153" t="s">
        <v>1149</v>
      </c>
      <c r="U9" s="1154">
        <f t="shared" si="1"/>
        <v>100</v>
      </c>
      <c r="V9" s="1153" t="s">
        <v>1149</v>
      </c>
      <c r="W9" s="1154">
        <f t="shared" si="2"/>
        <v>100</v>
      </c>
      <c r="X9" s="1155"/>
      <c r="Y9" s="3608"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01"/>
      <c r="Q10" s="1157" t="str">
        <f t="shared" si="6"/>
        <v>土地使用年限（年）</v>
      </c>
      <c r="R10" s="1153" t="s">
        <v>1149</v>
      </c>
      <c r="S10" s="1154">
        <f t="shared" si="0"/>
        <v>100</v>
      </c>
      <c r="T10" s="1153" t="s">
        <v>1149</v>
      </c>
      <c r="U10" s="1154">
        <f t="shared" si="1"/>
        <v>100</v>
      </c>
      <c r="V10" s="1153" t="s">
        <v>1149</v>
      </c>
      <c r="W10" s="1154">
        <f t="shared" si="2"/>
        <v>100</v>
      </c>
      <c r="X10" s="1155"/>
      <c r="Y10" s="3608"/>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01"/>
      <c r="Q11" s="1157" t="str">
        <f t="shared" si="6"/>
        <v>容积率</v>
      </c>
      <c r="R11" s="1153" t="s">
        <v>1149</v>
      </c>
      <c r="S11" s="1154">
        <f t="shared" si="0"/>
        <v>100</v>
      </c>
      <c r="T11" s="1153" t="s">
        <v>1149</v>
      </c>
      <c r="U11" s="1154">
        <f t="shared" si="1"/>
        <v>100</v>
      </c>
      <c r="V11" s="1153" t="s">
        <v>1149</v>
      </c>
      <c r="W11" s="1154">
        <f t="shared" si="2"/>
        <v>100</v>
      </c>
      <c r="X11" s="1155"/>
      <c r="Y11" s="3608"/>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01"/>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01"/>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01"/>
      <c r="Q14" s="1157">
        <f t="shared" si="6"/>
        <v>111</v>
      </c>
      <c r="R14" s="1153" t="s">
        <v>1149</v>
      </c>
      <c r="S14" s="1154">
        <f t="shared" si="0"/>
        <v>100</v>
      </c>
      <c r="T14" s="1153" t="s">
        <v>1149</v>
      </c>
      <c r="U14" s="1154">
        <f t="shared" si="1"/>
        <v>100</v>
      </c>
      <c r="V14" s="1153" t="s">
        <v>1149</v>
      </c>
      <c r="W14" s="1154">
        <f t="shared" si="2"/>
        <v>100</v>
      </c>
      <c r="X14" s="1155"/>
      <c r="Y14" s="3608"/>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67" t="s">
        <v>1162</v>
      </c>
      <c r="Q15" s="663" t="str">
        <f t="shared" si="6"/>
        <v>办公集聚程度</v>
      </c>
      <c r="R15" s="1158" t="s">
        <v>1149</v>
      </c>
      <c r="S15" s="1159">
        <f t="shared" si="0"/>
        <v>100</v>
      </c>
      <c r="T15" s="1158" t="s">
        <v>1149</v>
      </c>
      <c r="U15" s="1159">
        <f t="shared" si="1"/>
        <v>100</v>
      </c>
      <c r="V15" s="1158" t="s">
        <v>1149</v>
      </c>
      <c r="W15" s="1159">
        <f t="shared" si="2"/>
        <v>100</v>
      </c>
      <c r="X15" s="1152"/>
      <c r="Y15" s="3722"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768"/>
      <c r="Q16" s="663"/>
      <c r="R16" s="1158"/>
      <c r="S16" s="1159"/>
      <c r="T16" s="1158"/>
      <c r="U16" s="1159"/>
      <c r="V16" s="1158"/>
      <c r="W16" s="1159"/>
      <c r="X16" s="1152"/>
      <c r="Y16" s="3723"/>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768"/>
      <c r="Q17" s="663" t="str">
        <f>B17</f>
        <v>交通便捷度</v>
      </c>
      <c r="R17" s="1158" t="s">
        <v>1149</v>
      </c>
      <c r="S17" s="1159">
        <f>F17</f>
        <v>100</v>
      </c>
      <c r="T17" s="1158" t="s">
        <v>1149</v>
      </c>
      <c r="U17" s="1159">
        <f>H17</f>
        <v>100</v>
      </c>
      <c r="V17" s="1158" t="s">
        <v>1149</v>
      </c>
      <c r="W17" s="1159">
        <f>J17</f>
        <v>100</v>
      </c>
      <c r="X17" s="1152"/>
      <c r="Y17" s="3723"/>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768"/>
      <c r="Q18" s="663"/>
      <c r="R18" s="1158"/>
      <c r="S18" s="1159"/>
      <c r="T18" s="1158"/>
      <c r="U18" s="1159"/>
      <c r="V18" s="1158"/>
      <c r="W18" s="1159"/>
      <c r="X18" s="1152"/>
      <c r="Y18" s="3723"/>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768"/>
      <c r="Q19" s="663" t="str">
        <f>B19</f>
        <v>公共配套设施</v>
      </c>
      <c r="R19" s="1158" t="s">
        <v>1149</v>
      </c>
      <c r="S19" s="1159">
        <f>F19</f>
        <v>100</v>
      </c>
      <c r="T19" s="1158" t="s">
        <v>1149</v>
      </c>
      <c r="U19" s="1159">
        <f>H19</f>
        <v>100</v>
      </c>
      <c r="V19" s="1158" t="s">
        <v>1149</v>
      </c>
      <c r="W19" s="1159">
        <f>J19</f>
        <v>100</v>
      </c>
      <c r="X19" s="1152"/>
      <c r="Y19" s="3723"/>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768"/>
      <c r="Q20" s="663"/>
      <c r="R20" s="1158"/>
      <c r="S20" s="1159"/>
      <c r="T20" s="1158"/>
      <c r="U20" s="1159"/>
      <c r="V20" s="1158"/>
      <c r="W20" s="1159"/>
      <c r="X20" s="1152"/>
      <c r="Y20" s="3723"/>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768"/>
      <c r="Q21" s="663" t="str">
        <f>B21</f>
        <v>基础设施水平</v>
      </c>
      <c r="R21" s="1158" t="s">
        <v>1149</v>
      </c>
      <c r="S21" s="1159">
        <f>F21</f>
        <v>100</v>
      </c>
      <c r="T21" s="1158" t="s">
        <v>1149</v>
      </c>
      <c r="U21" s="1159">
        <f>H21</f>
        <v>100</v>
      </c>
      <c r="V21" s="1158" t="s">
        <v>1149</v>
      </c>
      <c r="W21" s="1159">
        <f>J21</f>
        <v>100</v>
      </c>
      <c r="X21" s="1152"/>
      <c r="Y21" s="3723"/>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768"/>
      <c r="Q22" s="663"/>
      <c r="R22" s="1158"/>
      <c r="S22" s="1159"/>
      <c r="T22" s="1158"/>
      <c r="U22" s="1159"/>
      <c r="V22" s="1158"/>
      <c r="W22" s="1159"/>
      <c r="X22" s="1152"/>
      <c r="Y22" s="3723"/>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768"/>
      <c r="Q23" s="663" t="str">
        <f>B23</f>
        <v>环境质量</v>
      </c>
      <c r="R23" s="1158" t="s">
        <v>1149</v>
      </c>
      <c r="S23" s="1159">
        <f>F23</f>
        <v>100</v>
      </c>
      <c r="T23" s="1158" t="s">
        <v>1149</v>
      </c>
      <c r="U23" s="1159">
        <f>H23</f>
        <v>100</v>
      </c>
      <c r="V23" s="1158" t="s">
        <v>1149</v>
      </c>
      <c r="W23" s="1159">
        <f>J23</f>
        <v>100</v>
      </c>
      <c r="X23" s="1152"/>
      <c r="Y23" s="3723"/>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768"/>
      <c r="Q24" s="663"/>
      <c r="R24" s="1158"/>
      <c r="S24" s="1159"/>
      <c r="T24" s="1158"/>
      <c r="U24" s="1159"/>
      <c r="V24" s="1158"/>
      <c r="W24" s="1159"/>
      <c r="X24" s="1152"/>
      <c r="Y24" s="3723"/>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768"/>
      <c r="Q25" s="663" t="str">
        <f>B25</f>
        <v>毗邻道路的类型与等级</v>
      </c>
      <c r="R25" s="1158" t="s">
        <v>1149</v>
      </c>
      <c r="S25" s="1159">
        <f>F25</f>
        <v>100</v>
      </c>
      <c r="T25" s="1158" t="s">
        <v>1149</v>
      </c>
      <c r="U25" s="1159">
        <f>H25</f>
        <v>100</v>
      </c>
      <c r="V25" s="1158" t="s">
        <v>1149</v>
      </c>
      <c r="W25" s="1159">
        <f>J25</f>
        <v>100</v>
      </c>
      <c r="X25" s="1152"/>
      <c r="Y25" s="3723"/>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768"/>
      <c r="Q26" s="663"/>
      <c r="R26" s="1158"/>
      <c r="S26" s="1159"/>
      <c r="T26" s="1158"/>
      <c r="U26" s="1159"/>
      <c r="V26" s="1158"/>
      <c r="W26" s="1159"/>
      <c r="X26" s="1152"/>
      <c r="Y26" s="3723"/>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68"/>
      <c r="Q27" s="663" t="str">
        <f t="shared" ref="Q27:Q47" si="11">B27</f>
        <v>楼层</v>
      </c>
      <c r="R27" s="1158" t="s">
        <v>1149</v>
      </c>
      <c r="S27" s="1159">
        <f>F27</f>
        <v>100</v>
      </c>
      <c r="T27" s="1158" t="s">
        <v>1149</v>
      </c>
      <c r="U27" s="1159">
        <f>H27</f>
        <v>100</v>
      </c>
      <c r="V27" s="1158" t="s">
        <v>1149</v>
      </c>
      <c r="W27" s="1159">
        <f>J27</f>
        <v>100</v>
      </c>
      <c r="X27" s="1152"/>
      <c r="Y27" s="3723"/>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768"/>
      <c r="Q28" s="1157" t="str">
        <f t="shared" si="11"/>
        <v>朝向</v>
      </c>
      <c r="R28" s="1153" t="s">
        <v>1149</v>
      </c>
      <c r="S28" s="1154">
        <f>F28</f>
        <v>100</v>
      </c>
      <c r="T28" s="1153" t="s">
        <v>1149</v>
      </c>
      <c r="U28" s="1154">
        <f>H28</f>
        <v>100</v>
      </c>
      <c r="V28" s="1153" t="s">
        <v>1149</v>
      </c>
      <c r="W28" s="1154">
        <f>J28</f>
        <v>100</v>
      </c>
      <c r="X28" s="1155"/>
      <c r="Y28" s="3723"/>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768"/>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23"/>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768"/>
      <c r="Q30" s="663">
        <f t="shared" si="11"/>
        <v>111</v>
      </c>
      <c r="R30" s="1158" t="s">
        <v>1149</v>
      </c>
      <c r="S30" s="1159">
        <f t="shared" si="12"/>
        <v>100</v>
      </c>
      <c r="T30" s="1158" t="s">
        <v>1149</v>
      </c>
      <c r="U30" s="1159">
        <f t="shared" si="13"/>
        <v>100</v>
      </c>
      <c r="V30" s="1158" t="s">
        <v>1149</v>
      </c>
      <c r="W30" s="1159">
        <f t="shared" si="14"/>
        <v>100</v>
      </c>
      <c r="X30" s="1152"/>
      <c r="Y30" s="3723"/>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768"/>
      <c r="Q31" s="663">
        <f t="shared" si="11"/>
        <v>111</v>
      </c>
      <c r="R31" s="1158" t="s">
        <v>1149</v>
      </c>
      <c r="S31" s="1159">
        <f t="shared" si="12"/>
        <v>100</v>
      </c>
      <c r="T31" s="1158" t="s">
        <v>1149</v>
      </c>
      <c r="U31" s="1159">
        <f t="shared" si="13"/>
        <v>100</v>
      </c>
      <c r="V31" s="1158" t="s">
        <v>1149</v>
      </c>
      <c r="W31" s="1159">
        <f t="shared" si="14"/>
        <v>100</v>
      </c>
      <c r="X31" s="1152"/>
      <c r="Y31" s="3723"/>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768"/>
      <c r="Q32" s="663">
        <f t="shared" si="11"/>
        <v>111</v>
      </c>
      <c r="R32" s="1158" t="s">
        <v>1149</v>
      </c>
      <c r="S32" s="1159">
        <f t="shared" si="12"/>
        <v>100</v>
      </c>
      <c r="T32" s="1158" t="s">
        <v>1149</v>
      </c>
      <c r="U32" s="1159">
        <f t="shared" si="13"/>
        <v>100</v>
      </c>
      <c r="V32" s="1158" t="s">
        <v>1149</v>
      </c>
      <c r="W32" s="1159">
        <f t="shared" si="14"/>
        <v>100</v>
      </c>
      <c r="X32" s="1152"/>
      <c r="Y32" s="3723"/>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769" t="s">
        <v>1175</v>
      </c>
      <c r="Q33" s="663" t="str">
        <f t="shared" si="11"/>
        <v>建筑类型</v>
      </c>
      <c r="R33" s="1158" t="s">
        <v>1149</v>
      </c>
      <c r="S33" s="1159">
        <f t="shared" si="12"/>
        <v>100</v>
      </c>
      <c r="T33" s="1158" t="s">
        <v>1149</v>
      </c>
      <c r="U33" s="1159">
        <f t="shared" si="13"/>
        <v>100</v>
      </c>
      <c r="V33" s="1158" t="s">
        <v>1149</v>
      </c>
      <c r="W33" s="1159">
        <f t="shared" si="14"/>
        <v>100</v>
      </c>
      <c r="X33" s="1152"/>
      <c r="Y33" s="3725"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70"/>
      <c r="Q34" s="1650" t="str">
        <f t="shared" si="11"/>
        <v>项目建筑规模</v>
      </c>
      <c r="R34" s="1160" t="s">
        <v>1149</v>
      </c>
      <c r="S34" s="1161" t="e">
        <f t="shared" si="12"/>
        <v>#N/A</v>
      </c>
      <c r="T34" s="1160" t="s">
        <v>1149</v>
      </c>
      <c r="U34" s="1161" t="e">
        <f t="shared" si="13"/>
        <v>#N/A</v>
      </c>
      <c r="V34" s="1160" t="s">
        <v>1149</v>
      </c>
      <c r="W34" s="1161" t="e">
        <f t="shared" si="14"/>
        <v>#N/A</v>
      </c>
      <c r="X34" s="1162"/>
      <c r="Y34" s="3725"/>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770"/>
      <c r="Q35" s="663" t="str">
        <f t="shared" si="11"/>
        <v>建筑结构</v>
      </c>
      <c r="R35" s="1158" t="s">
        <v>1149</v>
      </c>
      <c r="S35" s="1159">
        <f t="shared" si="12"/>
        <v>100</v>
      </c>
      <c r="T35" s="1158" t="s">
        <v>1149</v>
      </c>
      <c r="U35" s="1159">
        <f t="shared" si="13"/>
        <v>100</v>
      </c>
      <c r="V35" s="1158" t="s">
        <v>1149</v>
      </c>
      <c r="W35" s="1159">
        <f t="shared" si="14"/>
        <v>100</v>
      </c>
      <c r="X35" s="1152"/>
      <c r="Y35" s="3725"/>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770"/>
      <c r="Q36" s="663" t="str">
        <f t="shared" si="11"/>
        <v>公共部分装修</v>
      </c>
      <c r="R36" s="1158" t="s">
        <v>1149</v>
      </c>
      <c r="S36" s="1159">
        <f t="shared" si="12"/>
        <v>100</v>
      </c>
      <c r="T36" s="1158" t="s">
        <v>1149</v>
      </c>
      <c r="U36" s="1159">
        <f t="shared" si="13"/>
        <v>100</v>
      </c>
      <c r="V36" s="1158" t="s">
        <v>1149</v>
      </c>
      <c r="W36" s="1159">
        <f t="shared" si="14"/>
        <v>100</v>
      </c>
      <c r="X36" s="1152"/>
      <c r="Y36" s="3725"/>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770"/>
      <c r="Q37" s="663" t="str">
        <f t="shared" si="11"/>
        <v>成新度</v>
      </c>
      <c r="R37" s="1158" t="s">
        <v>1149</v>
      </c>
      <c r="S37" s="1159" t="e">
        <f t="shared" si="12"/>
        <v>#N/A</v>
      </c>
      <c r="T37" s="1158" t="s">
        <v>1149</v>
      </c>
      <c r="U37" s="1159" t="e">
        <f t="shared" si="13"/>
        <v>#N/A</v>
      </c>
      <c r="V37" s="1158" t="s">
        <v>1149</v>
      </c>
      <c r="W37" s="1159" t="e">
        <f t="shared" si="14"/>
        <v>#N/A</v>
      </c>
      <c r="X37" s="1152"/>
      <c r="Y37" s="3725"/>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770"/>
      <c r="Q38" s="1157" t="str">
        <f t="shared" si="11"/>
        <v>写字楼等级</v>
      </c>
      <c r="R38" s="1153" t="s">
        <v>1149</v>
      </c>
      <c r="S38" s="1154">
        <f t="shared" si="12"/>
        <v>100</v>
      </c>
      <c r="T38" s="1153" t="s">
        <v>1149</v>
      </c>
      <c r="U38" s="1154">
        <f t="shared" si="13"/>
        <v>100</v>
      </c>
      <c r="V38" s="1153" t="s">
        <v>1149</v>
      </c>
      <c r="W38" s="1154">
        <f t="shared" si="14"/>
        <v>100</v>
      </c>
      <c r="X38" s="1155"/>
      <c r="Y38" s="3725"/>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770" t="s">
        <v>1175</v>
      </c>
      <c r="Q39" s="663" t="str">
        <f t="shared" si="11"/>
        <v>物业管理</v>
      </c>
      <c r="R39" s="1158" t="s">
        <v>1149</v>
      </c>
      <c r="S39" s="1159">
        <f t="shared" si="12"/>
        <v>100</v>
      </c>
      <c r="T39" s="1158" t="s">
        <v>1149</v>
      </c>
      <c r="U39" s="1159">
        <f t="shared" si="13"/>
        <v>100</v>
      </c>
      <c r="V39" s="1158" t="s">
        <v>1149</v>
      </c>
      <c r="W39" s="1159">
        <f t="shared" si="14"/>
        <v>100</v>
      </c>
      <c r="X39" s="1152"/>
      <c r="Y39" s="3725"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770"/>
      <c r="Q40" s="663" t="str">
        <f t="shared" si="11"/>
        <v>市政基础设施</v>
      </c>
      <c r="R40" s="1158" t="s">
        <v>1149</v>
      </c>
      <c r="S40" s="1159">
        <f t="shared" si="12"/>
        <v>100</v>
      </c>
      <c r="T40" s="1158" t="s">
        <v>1149</v>
      </c>
      <c r="U40" s="1159">
        <f t="shared" si="13"/>
        <v>100</v>
      </c>
      <c r="V40" s="1158" t="s">
        <v>1149</v>
      </c>
      <c r="W40" s="1159">
        <f t="shared" si="14"/>
        <v>100</v>
      </c>
      <c r="X40" s="1152"/>
      <c r="Y40" s="3725"/>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70"/>
      <c r="Q41" s="663" t="str">
        <f t="shared" si="11"/>
        <v>层高</v>
      </c>
      <c r="R41" s="1158" t="s">
        <v>1149</v>
      </c>
      <c r="S41" s="1159">
        <f t="shared" si="12"/>
        <v>100</v>
      </c>
      <c r="T41" s="1158" t="s">
        <v>1149</v>
      </c>
      <c r="U41" s="1159">
        <f t="shared" si="13"/>
        <v>100</v>
      </c>
      <c r="V41" s="1158" t="s">
        <v>1149</v>
      </c>
      <c r="W41" s="1159">
        <f t="shared" si="14"/>
        <v>100</v>
      </c>
      <c r="X41" s="1152"/>
      <c r="Y41" s="3725"/>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70"/>
      <c r="Q42" s="1650" t="str">
        <f t="shared" si="11"/>
        <v>单套建筑面积</v>
      </c>
      <c r="R42" s="1160" t="s">
        <v>1149</v>
      </c>
      <c r="S42" s="1161">
        <f t="shared" si="12"/>
        <v>100</v>
      </c>
      <c r="T42" s="1160" t="s">
        <v>1149</v>
      </c>
      <c r="U42" s="1161">
        <f t="shared" si="13"/>
        <v>100</v>
      </c>
      <c r="V42" s="1160" t="s">
        <v>1149</v>
      </c>
      <c r="W42" s="1161">
        <f t="shared" si="14"/>
        <v>100</v>
      </c>
      <c r="X42" s="1162"/>
      <c r="Y42" s="3725"/>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770"/>
      <c r="Q43" s="663" t="str">
        <f t="shared" si="11"/>
        <v>内部装修</v>
      </c>
      <c r="R43" s="1158" t="s">
        <v>1149</v>
      </c>
      <c r="S43" s="1159">
        <f t="shared" si="12"/>
        <v>100</v>
      </c>
      <c r="T43" s="1158" t="s">
        <v>1149</v>
      </c>
      <c r="U43" s="1159">
        <f t="shared" si="13"/>
        <v>100</v>
      </c>
      <c r="V43" s="1158" t="s">
        <v>1149</v>
      </c>
      <c r="W43" s="1159">
        <f t="shared" si="14"/>
        <v>100</v>
      </c>
      <c r="X43" s="1152"/>
      <c r="Y43" s="3725"/>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70"/>
      <c r="Q44" s="663" t="str">
        <f t="shared" si="11"/>
        <v>内部装修维护情况</v>
      </c>
      <c r="R44" s="1158" t="s">
        <v>1149</v>
      </c>
      <c r="S44" s="1159">
        <f t="shared" si="12"/>
        <v>100</v>
      </c>
      <c r="T44" s="1158" t="s">
        <v>1149</v>
      </c>
      <c r="U44" s="1159">
        <f t="shared" si="13"/>
        <v>100</v>
      </c>
      <c r="V44" s="1158" t="s">
        <v>1149</v>
      </c>
      <c r="W44" s="1159">
        <f t="shared" si="14"/>
        <v>100</v>
      </c>
      <c r="X44" s="1152"/>
      <c r="Y44" s="3725"/>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70"/>
      <c r="Q45" s="1157">
        <f t="shared" si="11"/>
        <v>111</v>
      </c>
      <c r="R45" s="1153" t="s">
        <v>1149</v>
      </c>
      <c r="S45" s="1154">
        <f t="shared" si="12"/>
        <v>100</v>
      </c>
      <c r="T45" s="1153" t="s">
        <v>1149</v>
      </c>
      <c r="U45" s="1154">
        <f t="shared" si="13"/>
        <v>100</v>
      </c>
      <c r="V45" s="1153" t="s">
        <v>1149</v>
      </c>
      <c r="W45" s="1154">
        <f t="shared" si="14"/>
        <v>100</v>
      </c>
      <c r="X45" s="1155"/>
      <c r="Y45" s="3725"/>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70"/>
      <c r="Q46" s="663">
        <f t="shared" si="11"/>
        <v>111</v>
      </c>
      <c r="R46" s="1158" t="s">
        <v>1149</v>
      </c>
      <c r="S46" s="1159">
        <f t="shared" si="12"/>
        <v>100</v>
      </c>
      <c r="T46" s="1158" t="s">
        <v>1149</v>
      </c>
      <c r="U46" s="1159">
        <f t="shared" si="13"/>
        <v>100</v>
      </c>
      <c r="V46" s="1158" t="s">
        <v>1149</v>
      </c>
      <c r="W46" s="1159">
        <f t="shared" si="14"/>
        <v>100</v>
      </c>
      <c r="X46" s="1152"/>
      <c r="Y46" s="3725"/>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71"/>
      <c r="Q47" s="663">
        <f t="shared" si="11"/>
        <v>111</v>
      </c>
      <c r="R47" s="1158" t="s">
        <v>1149</v>
      </c>
      <c r="S47" s="1159">
        <f t="shared" si="12"/>
        <v>100</v>
      </c>
      <c r="T47" s="1158" t="s">
        <v>1149</v>
      </c>
      <c r="U47" s="1159">
        <f t="shared" si="13"/>
        <v>100</v>
      </c>
      <c r="V47" s="1158" t="s">
        <v>1149</v>
      </c>
      <c r="W47" s="1159">
        <f t="shared" si="14"/>
        <v>100</v>
      </c>
      <c r="X47" s="1152"/>
      <c r="Y47" s="3772"/>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01" t="str">
        <f>A48</f>
        <v>成交单价（元/平方米）</v>
      </c>
      <c r="Q48" s="3702"/>
      <c r="R48" s="3765">
        <f>E48</f>
        <v>0</v>
      </c>
      <c r="S48" s="3765"/>
      <c r="T48" s="3765">
        <f>G48</f>
        <v>0</v>
      </c>
      <c r="U48" s="3765"/>
      <c r="V48" s="3765">
        <f>I48</f>
        <v>0</v>
      </c>
      <c r="W48" s="3765"/>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01" t="str">
        <f>A49</f>
        <v>比较价值（元/平方米）</v>
      </c>
      <c r="Q49" s="3702"/>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29509.480000000025</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699" t="s">
        <v>1134</v>
      </c>
      <c r="D4" s="3732"/>
      <c r="E4" s="3733" t="s">
        <v>1135</v>
      </c>
      <c r="F4" s="3734"/>
      <c r="G4" s="3699" t="s">
        <v>1136</v>
      </c>
      <c r="H4" s="3732"/>
      <c r="I4" s="3699" t="s">
        <v>1137</v>
      </c>
      <c r="J4" s="3732"/>
      <c r="K4" s="1108" t="s">
        <v>1138</v>
      </c>
      <c r="L4" s="1855"/>
      <c r="M4" s="1856"/>
      <c r="N4" s="1856"/>
      <c r="O4" s="1856"/>
      <c r="P4" s="3703" t="s">
        <v>1139</v>
      </c>
      <c r="Q4" s="3704"/>
      <c r="R4" s="3709" t="s">
        <v>1135</v>
      </c>
      <c r="S4" s="3710"/>
      <c r="T4" s="3709" t="s">
        <v>1136</v>
      </c>
      <c r="U4" s="3710"/>
      <c r="V4" s="3715" t="s">
        <v>1137</v>
      </c>
      <c r="W4" s="3715"/>
      <c r="X4" s="1152"/>
      <c r="Y4" s="3709" t="s">
        <v>1139</v>
      </c>
      <c r="Z4" s="3710"/>
      <c r="AA4" s="3696" t="s">
        <v>1135</v>
      </c>
      <c r="AB4" s="3697" t="s">
        <v>1136</v>
      </c>
      <c r="AC4" s="3696" t="s">
        <v>1137</v>
      </c>
    </row>
    <row r="5" spans="1:29" ht="15">
      <c r="A5" s="963"/>
      <c r="B5" s="964"/>
      <c r="C5" s="3735" t="s">
        <v>1140</v>
      </c>
      <c r="D5" s="3736"/>
      <c r="E5" s="3737" t="s">
        <v>1141</v>
      </c>
      <c r="F5" s="3738"/>
      <c r="G5" s="3735" t="s">
        <v>1142</v>
      </c>
      <c r="H5" s="3736"/>
      <c r="I5" s="3735" t="s">
        <v>1143</v>
      </c>
      <c r="J5" s="3736"/>
      <c r="K5" s="1108"/>
      <c r="L5" s="1855"/>
      <c r="M5" s="1856"/>
      <c r="N5" s="1856"/>
      <c r="O5" s="1856"/>
      <c r="P5" s="3705"/>
      <c r="Q5" s="3706"/>
      <c r="R5" s="3711"/>
      <c r="S5" s="3712"/>
      <c r="T5" s="3711"/>
      <c r="U5" s="3712"/>
      <c r="V5" s="3715"/>
      <c r="W5" s="3715"/>
      <c r="X5" s="1152"/>
      <c r="Y5" s="3711"/>
      <c r="Z5" s="3712"/>
      <c r="AA5" s="3697"/>
      <c r="AB5" s="3697"/>
      <c r="AC5" s="3697"/>
    </row>
    <row r="6" spans="1:29" ht="15">
      <c r="A6" s="965"/>
      <c r="B6" s="966"/>
      <c r="C6" s="3726" t="s">
        <v>1144</v>
      </c>
      <c r="D6" s="3727"/>
      <c r="E6" s="3728" t="s">
        <v>1144</v>
      </c>
      <c r="F6" s="3729"/>
      <c r="G6" s="3726" t="s">
        <v>1144</v>
      </c>
      <c r="H6" s="3727"/>
      <c r="I6" s="3726" t="s">
        <v>1144</v>
      </c>
      <c r="J6" s="3727"/>
      <c r="K6" s="1108" t="s">
        <v>1146</v>
      </c>
      <c r="L6" s="1855"/>
      <c r="M6" s="1856"/>
      <c r="N6" s="1856"/>
      <c r="O6" s="1856"/>
      <c r="P6" s="3707"/>
      <c r="Q6" s="3708"/>
      <c r="R6" s="3711"/>
      <c r="S6" s="3712"/>
      <c r="T6" s="3713"/>
      <c r="U6" s="3714"/>
      <c r="V6" s="3715"/>
      <c r="W6" s="3715"/>
      <c r="X6" s="1152"/>
      <c r="Y6" s="3713"/>
      <c r="Z6" s="3714"/>
      <c r="AA6" s="3698"/>
      <c r="AB6" s="3698"/>
      <c r="AC6" s="3698"/>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720" t="s">
        <v>1148</v>
      </c>
      <c r="Q7" s="3731"/>
      <c r="R7" s="1153" t="s">
        <v>1149</v>
      </c>
      <c r="S7" s="1154">
        <f t="shared" ref="S7:S15" si="0">F7</f>
        <v>0</v>
      </c>
      <c r="T7" s="1153" t="s">
        <v>1149</v>
      </c>
      <c r="U7" s="1154">
        <f t="shared" ref="U7:U15" si="1">H7</f>
        <v>0</v>
      </c>
      <c r="V7" s="1153" t="s">
        <v>1149</v>
      </c>
      <c r="W7" s="1154">
        <f t="shared" ref="W7:W15" si="2">J7</f>
        <v>0</v>
      </c>
      <c r="X7" s="1155"/>
      <c r="Y7" s="3720" t="s">
        <v>1148</v>
      </c>
      <c r="Z7" s="3721"/>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720" t="s">
        <v>1152</v>
      </c>
      <c r="Q8" s="3721"/>
      <c r="R8" s="1153" t="s">
        <v>1149</v>
      </c>
      <c r="S8" s="1154">
        <f t="shared" si="0"/>
        <v>100</v>
      </c>
      <c r="T8" s="1153" t="s">
        <v>1149</v>
      </c>
      <c r="U8" s="1154">
        <f t="shared" si="1"/>
        <v>100</v>
      </c>
      <c r="V8" s="1153" t="s">
        <v>1149</v>
      </c>
      <c r="W8" s="1154">
        <f t="shared" si="2"/>
        <v>100</v>
      </c>
      <c r="X8" s="1155"/>
      <c r="Y8" s="3720" t="s">
        <v>1152</v>
      </c>
      <c r="Z8" s="3721"/>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02" t="s">
        <v>1155</v>
      </c>
      <c r="Q9" s="1157" t="str">
        <f t="shared" ref="Q9:Q15" si="6">B9</f>
        <v>用途</v>
      </c>
      <c r="R9" s="1153" t="s">
        <v>1149</v>
      </c>
      <c r="S9" s="1154">
        <f t="shared" si="0"/>
        <v>100</v>
      </c>
      <c r="T9" s="1153" t="s">
        <v>1149</v>
      </c>
      <c r="U9" s="1154">
        <f t="shared" si="1"/>
        <v>100</v>
      </c>
      <c r="V9" s="1153" t="s">
        <v>1149</v>
      </c>
      <c r="W9" s="1154">
        <f t="shared" si="2"/>
        <v>100</v>
      </c>
      <c r="X9" s="1155"/>
      <c r="Y9" s="3608"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02"/>
      <c r="Q10" s="1157" t="str">
        <f t="shared" si="6"/>
        <v>土地使用年限（年）</v>
      </c>
      <c r="R10" s="1153" t="s">
        <v>1149</v>
      </c>
      <c r="S10" s="1154">
        <f t="shared" si="0"/>
        <v>100</v>
      </c>
      <c r="T10" s="1153" t="s">
        <v>1149</v>
      </c>
      <c r="U10" s="1154">
        <f t="shared" si="1"/>
        <v>100</v>
      </c>
      <c r="V10" s="1153" t="s">
        <v>1149</v>
      </c>
      <c r="W10" s="1154">
        <f t="shared" si="2"/>
        <v>100</v>
      </c>
      <c r="X10" s="1155"/>
      <c r="Y10" s="3608"/>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02"/>
      <c r="Q11" s="1157" t="str">
        <f t="shared" si="6"/>
        <v>容积率</v>
      </c>
      <c r="R11" s="1153" t="s">
        <v>1149</v>
      </c>
      <c r="S11" s="1154">
        <f t="shared" si="0"/>
        <v>100</v>
      </c>
      <c r="T11" s="1153" t="s">
        <v>1149</v>
      </c>
      <c r="U11" s="1154">
        <f t="shared" si="1"/>
        <v>100</v>
      </c>
      <c r="V11" s="1153" t="s">
        <v>1149</v>
      </c>
      <c r="W11" s="1154">
        <f t="shared" si="2"/>
        <v>100</v>
      </c>
      <c r="X11" s="1155"/>
      <c r="Y11" s="3608"/>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02"/>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02"/>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02"/>
      <c r="Q14" s="1157">
        <f t="shared" si="6"/>
        <v>111</v>
      </c>
      <c r="R14" s="1153" t="s">
        <v>1149</v>
      </c>
      <c r="S14" s="1154">
        <f t="shared" si="0"/>
        <v>100</v>
      </c>
      <c r="T14" s="1153" t="s">
        <v>1149</v>
      </c>
      <c r="U14" s="1154">
        <f t="shared" si="1"/>
        <v>100</v>
      </c>
      <c r="V14" s="1153" t="s">
        <v>1149</v>
      </c>
      <c r="W14" s="1154">
        <f t="shared" si="2"/>
        <v>100</v>
      </c>
      <c r="X14" s="1155"/>
      <c r="Y14" s="3608"/>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22" t="s">
        <v>1162</v>
      </c>
      <c r="Q15" s="663" t="str">
        <f t="shared" si="6"/>
        <v>产业集聚程度</v>
      </c>
      <c r="R15" s="1158" t="s">
        <v>1149</v>
      </c>
      <c r="S15" s="1159">
        <f t="shared" si="0"/>
        <v>100</v>
      </c>
      <c r="T15" s="1158" t="s">
        <v>1149</v>
      </c>
      <c r="U15" s="1159">
        <f t="shared" si="1"/>
        <v>100</v>
      </c>
      <c r="V15" s="1158" t="s">
        <v>1149</v>
      </c>
      <c r="W15" s="1159">
        <f t="shared" si="2"/>
        <v>100</v>
      </c>
      <c r="X15" s="1152"/>
      <c r="Y15" s="3722"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23"/>
      <c r="Q16" s="663"/>
      <c r="R16" s="1158"/>
      <c r="S16" s="1159"/>
      <c r="T16" s="1158"/>
      <c r="U16" s="1159"/>
      <c r="V16" s="1158"/>
      <c r="W16" s="1159"/>
      <c r="X16" s="1152"/>
      <c r="Y16" s="3723"/>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23"/>
      <c r="Q17" s="663" t="str">
        <f>B17</f>
        <v>交通便捷度</v>
      </c>
      <c r="R17" s="1158" t="s">
        <v>1149</v>
      </c>
      <c r="S17" s="1159">
        <f>F17</f>
        <v>100</v>
      </c>
      <c r="T17" s="1158" t="s">
        <v>1149</v>
      </c>
      <c r="U17" s="1159">
        <f>H17</f>
        <v>100</v>
      </c>
      <c r="V17" s="1158" t="s">
        <v>1149</v>
      </c>
      <c r="W17" s="1159">
        <f>J17</f>
        <v>100</v>
      </c>
      <c r="X17" s="1152"/>
      <c r="Y17" s="3723"/>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23"/>
      <c r="Q18" s="663"/>
      <c r="R18" s="1158"/>
      <c r="S18" s="1159"/>
      <c r="T18" s="1158"/>
      <c r="U18" s="1159"/>
      <c r="V18" s="1158"/>
      <c r="W18" s="1159"/>
      <c r="X18" s="1152"/>
      <c r="Y18" s="3723"/>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23"/>
      <c r="Q19" s="663" t="str">
        <f>B19</f>
        <v>公共配套设施</v>
      </c>
      <c r="R19" s="1158" t="s">
        <v>1149</v>
      </c>
      <c r="S19" s="1159">
        <f>F19</f>
        <v>100</v>
      </c>
      <c r="T19" s="1158" t="s">
        <v>1149</v>
      </c>
      <c r="U19" s="1159">
        <f>H19</f>
        <v>100</v>
      </c>
      <c r="V19" s="1158" t="s">
        <v>1149</v>
      </c>
      <c r="W19" s="1159">
        <f>J19</f>
        <v>100</v>
      </c>
      <c r="X19" s="1152"/>
      <c r="Y19" s="3723"/>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23"/>
      <c r="Q20" s="663"/>
      <c r="R20" s="1158"/>
      <c r="S20" s="1159"/>
      <c r="T20" s="1158"/>
      <c r="U20" s="1159"/>
      <c r="V20" s="1158"/>
      <c r="W20" s="1159"/>
      <c r="X20" s="1152"/>
      <c r="Y20" s="3723"/>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23"/>
      <c r="Q21" s="663" t="str">
        <f>B21</f>
        <v>基础设施水平</v>
      </c>
      <c r="R21" s="1158" t="s">
        <v>1149</v>
      </c>
      <c r="S21" s="1159">
        <f>F21</f>
        <v>100</v>
      </c>
      <c r="T21" s="1158" t="s">
        <v>1149</v>
      </c>
      <c r="U21" s="1159">
        <f>H21</f>
        <v>100</v>
      </c>
      <c r="V21" s="1158" t="s">
        <v>1149</v>
      </c>
      <c r="W21" s="1159">
        <f>J21</f>
        <v>100</v>
      </c>
      <c r="X21" s="1152"/>
      <c r="Y21" s="3723"/>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23"/>
      <c r="Q22" s="663"/>
      <c r="R22" s="1158"/>
      <c r="S22" s="1159"/>
      <c r="T22" s="1158"/>
      <c r="U22" s="1159"/>
      <c r="V22" s="1158"/>
      <c r="W22" s="1159"/>
      <c r="X22" s="1152"/>
      <c r="Y22" s="3723"/>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23"/>
      <c r="Q23" s="663" t="str">
        <f>B23</f>
        <v>环境质量</v>
      </c>
      <c r="R23" s="1158" t="s">
        <v>1149</v>
      </c>
      <c r="S23" s="1159">
        <f>F23</f>
        <v>100</v>
      </c>
      <c r="T23" s="1158" t="s">
        <v>1149</v>
      </c>
      <c r="U23" s="1159">
        <f>H23</f>
        <v>100</v>
      </c>
      <c r="V23" s="1158" t="s">
        <v>1149</v>
      </c>
      <c r="W23" s="1159">
        <f>J23</f>
        <v>100</v>
      </c>
      <c r="X23" s="1152"/>
      <c r="Y23" s="3723"/>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23"/>
      <c r="Q24" s="663"/>
      <c r="R24" s="1158"/>
      <c r="S24" s="1159"/>
      <c r="T24" s="1158"/>
      <c r="U24" s="1159"/>
      <c r="V24" s="1158"/>
      <c r="W24" s="1159"/>
      <c r="X24" s="1152"/>
      <c r="Y24" s="3723"/>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23"/>
      <c r="Q25" s="663">
        <f>B25</f>
        <v>111</v>
      </c>
      <c r="R25" s="1158" t="s">
        <v>1149</v>
      </c>
      <c r="S25" s="1159">
        <f>F25</f>
        <v>100</v>
      </c>
      <c r="T25" s="1158" t="s">
        <v>1149</v>
      </c>
      <c r="U25" s="1159">
        <f>H25</f>
        <v>100</v>
      </c>
      <c r="V25" s="1158" t="s">
        <v>1149</v>
      </c>
      <c r="W25" s="1159">
        <f>J25</f>
        <v>100</v>
      </c>
      <c r="X25" s="1152"/>
      <c r="Y25" s="3723"/>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23"/>
      <c r="Q26" s="663">
        <f t="shared" ref="Q26:Q40" si="11">B26</f>
        <v>111</v>
      </c>
      <c r="R26" s="1158" t="s">
        <v>1149</v>
      </c>
      <c r="S26" s="1159">
        <f>F26</f>
        <v>100</v>
      </c>
      <c r="T26" s="1158" t="s">
        <v>1149</v>
      </c>
      <c r="U26" s="1159">
        <f>H26</f>
        <v>100</v>
      </c>
      <c r="V26" s="1158" t="s">
        <v>1149</v>
      </c>
      <c r="W26" s="1159">
        <f>J26</f>
        <v>100</v>
      </c>
      <c r="X26" s="1152"/>
      <c r="Y26" s="3723"/>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23"/>
      <c r="Q27" s="1157">
        <f t="shared" si="11"/>
        <v>111</v>
      </c>
      <c r="R27" s="1153" t="s">
        <v>1149</v>
      </c>
      <c r="S27" s="1154">
        <f>F27</f>
        <v>100</v>
      </c>
      <c r="T27" s="1153" t="s">
        <v>1149</v>
      </c>
      <c r="U27" s="1154">
        <f>H27</f>
        <v>100</v>
      </c>
      <c r="V27" s="1153" t="s">
        <v>1149</v>
      </c>
      <c r="W27" s="1154">
        <f>J27</f>
        <v>100</v>
      </c>
      <c r="X27" s="1155"/>
      <c r="Y27" s="3723"/>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23"/>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23"/>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24" t="s">
        <v>1175</v>
      </c>
      <c r="Q29" s="663" t="str">
        <f t="shared" si="11"/>
        <v>建筑类型</v>
      </c>
      <c r="R29" s="1158" t="s">
        <v>1149</v>
      </c>
      <c r="S29" s="1159">
        <f t="shared" si="12"/>
        <v>100</v>
      </c>
      <c r="T29" s="1158" t="s">
        <v>1149</v>
      </c>
      <c r="U29" s="1159">
        <f t="shared" si="13"/>
        <v>100</v>
      </c>
      <c r="V29" s="1158" t="s">
        <v>1149</v>
      </c>
      <c r="W29" s="1159">
        <f t="shared" si="14"/>
        <v>100</v>
      </c>
      <c r="X29" s="1152"/>
      <c r="Y29" s="3725"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25"/>
      <c r="Q30" s="1650" t="str">
        <f t="shared" si="11"/>
        <v>项目建筑规模</v>
      </c>
      <c r="R30" s="1160" t="s">
        <v>1149</v>
      </c>
      <c r="S30" s="1161" t="e">
        <f t="shared" si="12"/>
        <v>#N/A</v>
      </c>
      <c r="T30" s="1160" t="s">
        <v>1149</v>
      </c>
      <c r="U30" s="1161" t="e">
        <f t="shared" si="13"/>
        <v>#N/A</v>
      </c>
      <c r="V30" s="1160" t="s">
        <v>1149</v>
      </c>
      <c r="W30" s="1161" t="e">
        <f t="shared" si="14"/>
        <v>#N/A</v>
      </c>
      <c r="X30" s="1162"/>
      <c r="Y30" s="3725"/>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25"/>
      <c r="Q31" s="663" t="str">
        <f t="shared" si="11"/>
        <v>建筑结构</v>
      </c>
      <c r="R31" s="1158" t="s">
        <v>1149</v>
      </c>
      <c r="S31" s="1159">
        <f t="shared" si="12"/>
        <v>100</v>
      </c>
      <c r="T31" s="1158" t="s">
        <v>1149</v>
      </c>
      <c r="U31" s="1159">
        <f t="shared" si="13"/>
        <v>100</v>
      </c>
      <c r="V31" s="1158" t="s">
        <v>1149</v>
      </c>
      <c r="W31" s="1159">
        <f t="shared" si="14"/>
        <v>100</v>
      </c>
      <c r="X31" s="1152"/>
      <c r="Y31" s="3725"/>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25"/>
      <c r="Q32" s="663" t="str">
        <f t="shared" si="11"/>
        <v>公共部分装修</v>
      </c>
      <c r="R32" s="1158" t="s">
        <v>1149</v>
      </c>
      <c r="S32" s="1159">
        <f t="shared" si="12"/>
        <v>100</v>
      </c>
      <c r="T32" s="1158" t="s">
        <v>1149</v>
      </c>
      <c r="U32" s="1159">
        <f t="shared" si="13"/>
        <v>100</v>
      </c>
      <c r="V32" s="1158" t="s">
        <v>1149</v>
      </c>
      <c r="W32" s="1159">
        <f t="shared" si="14"/>
        <v>100</v>
      </c>
      <c r="X32" s="1152"/>
      <c r="Y32" s="3725"/>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25"/>
      <c r="Q33" s="663" t="str">
        <f t="shared" si="11"/>
        <v>成新度</v>
      </c>
      <c r="R33" s="1158" t="s">
        <v>1149</v>
      </c>
      <c r="S33" s="1159" t="e">
        <f t="shared" si="12"/>
        <v>#N/A</v>
      </c>
      <c r="T33" s="1158" t="s">
        <v>1149</v>
      </c>
      <c r="U33" s="1159" t="e">
        <f t="shared" si="13"/>
        <v>#N/A</v>
      </c>
      <c r="V33" s="1158" t="s">
        <v>1149</v>
      </c>
      <c r="W33" s="1159" t="e">
        <f t="shared" si="14"/>
        <v>#N/A</v>
      </c>
      <c r="X33" s="1152"/>
      <c r="Y33" s="3725"/>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25"/>
      <c r="Q34" s="1157" t="str">
        <f t="shared" si="11"/>
        <v>物业管理</v>
      </c>
      <c r="R34" s="1153" t="s">
        <v>1149</v>
      </c>
      <c r="S34" s="1154">
        <f t="shared" si="12"/>
        <v>100</v>
      </c>
      <c r="T34" s="1153" t="s">
        <v>1149</v>
      </c>
      <c r="U34" s="1154">
        <f t="shared" si="13"/>
        <v>100</v>
      </c>
      <c r="V34" s="1153" t="s">
        <v>1149</v>
      </c>
      <c r="W34" s="1154">
        <f t="shared" si="14"/>
        <v>100</v>
      </c>
      <c r="X34" s="1155"/>
      <c r="Y34" s="3725"/>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25" t="s">
        <v>1175</v>
      </c>
      <c r="Q35" s="663" t="str">
        <f t="shared" si="11"/>
        <v>市政基础设施</v>
      </c>
      <c r="R35" s="1158" t="s">
        <v>1149</v>
      </c>
      <c r="S35" s="1159">
        <f t="shared" si="12"/>
        <v>100</v>
      </c>
      <c r="T35" s="1158" t="s">
        <v>1149</v>
      </c>
      <c r="U35" s="1159">
        <f t="shared" si="13"/>
        <v>100</v>
      </c>
      <c r="V35" s="1158" t="s">
        <v>1149</v>
      </c>
      <c r="W35" s="1159">
        <f t="shared" si="14"/>
        <v>100</v>
      </c>
      <c r="X35" s="1152"/>
      <c r="Y35" s="3725"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25"/>
      <c r="Q36" s="663" t="str">
        <f t="shared" si="11"/>
        <v>内部装修</v>
      </c>
      <c r="R36" s="1158" t="s">
        <v>1149</v>
      </c>
      <c r="S36" s="1159">
        <f t="shared" si="12"/>
        <v>100</v>
      </c>
      <c r="T36" s="1158" t="s">
        <v>1149</v>
      </c>
      <c r="U36" s="1159">
        <f t="shared" si="13"/>
        <v>100</v>
      </c>
      <c r="V36" s="1158" t="s">
        <v>1149</v>
      </c>
      <c r="W36" s="1159">
        <f t="shared" si="14"/>
        <v>100</v>
      </c>
      <c r="X36" s="1152"/>
      <c r="Y36" s="3725"/>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25"/>
      <c r="Q37" s="663" t="str">
        <f t="shared" si="11"/>
        <v>内部装修状况</v>
      </c>
      <c r="R37" s="1158" t="s">
        <v>1149</v>
      </c>
      <c r="S37" s="1159">
        <f t="shared" si="12"/>
        <v>100</v>
      </c>
      <c r="T37" s="1158" t="s">
        <v>1149</v>
      </c>
      <c r="U37" s="1159">
        <f t="shared" si="13"/>
        <v>100</v>
      </c>
      <c r="V37" s="1158" t="s">
        <v>1149</v>
      </c>
      <c r="W37" s="1159">
        <f t="shared" si="14"/>
        <v>100</v>
      </c>
      <c r="X37" s="1152"/>
      <c r="Y37" s="3725"/>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25"/>
      <c r="Q38" s="1650">
        <f t="shared" si="11"/>
        <v>111</v>
      </c>
      <c r="R38" s="1160" t="s">
        <v>1149</v>
      </c>
      <c r="S38" s="1161">
        <f t="shared" si="12"/>
        <v>100</v>
      </c>
      <c r="T38" s="1160" t="s">
        <v>1149</v>
      </c>
      <c r="U38" s="1161">
        <f t="shared" si="13"/>
        <v>100</v>
      </c>
      <c r="V38" s="1160" t="s">
        <v>1149</v>
      </c>
      <c r="W38" s="1161">
        <f t="shared" si="14"/>
        <v>100</v>
      </c>
      <c r="X38" s="1162"/>
      <c r="Y38" s="3725"/>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25"/>
      <c r="Q39" s="663">
        <f t="shared" si="11"/>
        <v>111</v>
      </c>
      <c r="R39" s="1158" t="s">
        <v>1149</v>
      </c>
      <c r="S39" s="1159">
        <f t="shared" si="12"/>
        <v>100</v>
      </c>
      <c r="T39" s="1158" t="s">
        <v>1149</v>
      </c>
      <c r="U39" s="1159">
        <f t="shared" si="13"/>
        <v>100</v>
      </c>
      <c r="V39" s="1158" t="s">
        <v>1149</v>
      </c>
      <c r="W39" s="1159">
        <f t="shared" si="14"/>
        <v>100</v>
      </c>
      <c r="X39" s="1152"/>
      <c r="Y39" s="3725"/>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772"/>
      <c r="Q40" s="663">
        <f t="shared" si="11"/>
        <v>111</v>
      </c>
      <c r="R40" s="1158" t="s">
        <v>1149</v>
      </c>
      <c r="S40" s="1159">
        <f t="shared" si="12"/>
        <v>100</v>
      </c>
      <c r="T40" s="1158" t="s">
        <v>1149</v>
      </c>
      <c r="U40" s="1159">
        <f t="shared" si="13"/>
        <v>100</v>
      </c>
      <c r="V40" s="1158" t="s">
        <v>1149</v>
      </c>
      <c r="W40" s="1159">
        <f t="shared" si="14"/>
        <v>100</v>
      </c>
      <c r="X40" s="1152"/>
      <c r="Y40" s="3772"/>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02" t="str">
        <f>A41</f>
        <v>成交单价（元/平方米）</v>
      </c>
      <c r="Q41" s="3702"/>
      <c r="R41" s="3765">
        <f>E41</f>
        <v>0</v>
      </c>
      <c r="S41" s="3765"/>
      <c r="T41" s="3765">
        <f>G41</f>
        <v>0</v>
      </c>
      <c r="U41" s="3765"/>
      <c r="V41" s="3765">
        <f>I41</f>
        <v>0</v>
      </c>
      <c r="W41" s="3765"/>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02" t="str">
        <f>A42</f>
        <v>比较价值（元/平方米）</v>
      </c>
      <c r="Q42" s="3702"/>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17" t="str">
        <f>A43</f>
        <v>估价对象XX用房的比较价值（楼面单价，元/平方米）</v>
      </c>
      <c r="Q43" s="3718"/>
      <c r="R43" s="3766" t="e">
        <f>IF(F1="售价",ROUND(IF(D42="简单平均",AVERAGE(R42:V42),R42*F42+T42*H42+V42*J42),0),ROUND(IF(D42="简单平均",AVERAGE(R42:V42),R42*F42+T42*H42+V42*J42),1))</f>
        <v>#DIV/0!</v>
      </c>
      <c r="S43" s="3766"/>
      <c r="T43" s="3766"/>
      <c r="U43" s="3766"/>
      <c r="V43" s="3766"/>
      <c r="W43" s="3766"/>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790" t="s">
        <v>1714</v>
      </c>
      <c r="D1" s="3791"/>
      <c r="E1" s="3791"/>
      <c r="F1" s="3791"/>
      <c r="G1" s="3791"/>
      <c r="H1" s="3791"/>
      <c r="I1" s="3791"/>
      <c r="J1" s="3791"/>
      <c r="K1" s="3791"/>
      <c r="L1" s="3791"/>
      <c r="M1" s="3791"/>
      <c r="N1" s="3791"/>
      <c r="O1" s="3791"/>
      <c r="P1" s="3791"/>
      <c r="Q1" s="3791"/>
      <c r="R1" s="3791"/>
      <c r="S1" s="3792"/>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168385</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68510</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24578.200000000026</v>
      </c>
      <c r="C22" s="3793" t="s">
        <v>124</v>
      </c>
      <c r="D22" s="3794"/>
      <c r="E22" s="3794"/>
      <c r="F22" s="3794"/>
      <c r="G22" s="3794"/>
      <c r="H22" s="3794"/>
      <c r="I22" s="3794"/>
      <c r="J22" s="3794"/>
      <c r="K22" s="3794"/>
      <c r="L22" s="3794"/>
      <c r="M22" s="3794"/>
      <c r="N22" s="3794"/>
      <c r="O22" s="3794"/>
      <c r="P22" s="3794"/>
      <c r="Q22" s="3795"/>
      <c r="R22" s="1840">
        <f>ROUND(S22*10000/B22,0)</f>
        <v>68510</v>
      </c>
      <c r="S22" s="1357">
        <f>SUM(S24:S10000)</f>
        <v>168385</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15813.740000000045</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73771</v>
      </c>
      <c r="S24" s="1844">
        <f t="shared" ref="S24:S54" si="11">ROUND(R24*B24/10000,0)</f>
        <v>116660</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8764.4599999999809</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59017</v>
      </c>
      <c r="S25" s="1331">
        <f t="shared" si="11"/>
        <v>51725</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P39" sqref="P39:Q39"/>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3823</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9945</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11347</v>
      </c>
      <c r="C3" s="1591" t="s">
        <v>1132</v>
      </c>
      <c r="D3" s="1592">
        <f>SUMIF('数据-汇总表'!$C19:$C33,D1,'数据-汇总表'!$E19:$E33)</f>
        <v>8764.4599999999809</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9945</v>
      </c>
      <c r="N3" s="1107"/>
      <c r="O3" s="1107"/>
      <c r="P3" s="1699"/>
      <c r="Q3" s="1104"/>
      <c r="R3" s="1104"/>
      <c r="S3" s="1104"/>
      <c r="T3" s="1104"/>
      <c r="U3" s="1104"/>
      <c r="V3" s="1104"/>
      <c r="W3" s="1104"/>
      <c r="X3" s="1104"/>
      <c r="Y3" s="1104"/>
      <c r="Z3" s="1104"/>
      <c r="AA3" s="1104"/>
      <c r="AB3" s="1165"/>
      <c r="AC3" s="1166"/>
    </row>
    <row r="4" spans="1:29" ht="15">
      <c r="A4" s="961" t="s">
        <v>1133</v>
      </c>
      <c r="B4" s="962"/>
      <c r="C4" s="3699" t="s">
        <v>1134</v>
      </c>
      <c r="D4" s="3732"/>
      <c r="E4" s="3733" t="s">
        <v>1135</v>
      </c>
      <c r="F4" s="3734"/>
      <c r="G4" s="3699" t="s">
        <v>1136</v>
      </c>
      <c r="H4" s="3732"/>
      <c r="I4" s="3699" t="s">
        <v>1137</v>
      </c>
      <c r="J4" s="3732"/>
      <c r="K4" s="1108" t="s">
        <v>1138</v>
      </c>
      <c r="L4" s="1109"/>
      <c r="M4" s="1110"/>
      <c r="N4" s="1110"/>
      <c r="O4" s="1110"/>
      <c r="P4" s="3703" t="s">
        <v>1139</v>
      </c>
      <c r="Q4" s="3704"/>
      <c r="R4" s="3709" t="s">
        <v>1135</v>
      </c>
      <c r="S4" s="3710"/>
      <c r="T4" s="3709" t="s">
        <v>1136</v>
      </c>
      <c r="U4" s="3710"/>
      <c r="V4" s="3715" t="s">
        <v>1137</v>
      </c>
      <c r="W4" s="3715"/>
      <c r="X4" s="1152"/>
      <c r="Y4" s="3709" t="s">
        <v>1139</v>
      </c>
      <c r="Z4" s="3710"/>
      <c r="AA4" s="3696" t="s">
        <v>1135</v>
      </c>
      <c r="AB4" s="3697" t="s">
        <v>1136</v>
      </c>
      <c r="AC4" s="3696" t="s">
        <v>1137</v>
      </c>
    </row>
    <row r="5" spans="1:29" ht="15">
      <c r="A5" s="963"/>
      <c r="B5" s="964"/>
      <c r="C5" s="3735" t="s">
        <v>1140</v>
      </c>
      <c r="D5" s="3736"/>
      <c r="E5" s="3773" t="s">
        <v>3337</v>
      </c>
      <c r="F5" s="3738"/>
      <c r="G5" s="3774" t="s">
        <v>3821</v>
      </c>
      <c r="H5" s="3736"/>
      <c r="I5" s="3774" t="s">
        <v>3822</v>
      </c>
      <c r="J5" s="3736"/>
      <c r="K5" s="1108"/>
      <c r="L5" s="1109"/>
      <c r="M5" s="1110"/>
      <c r="N5" s="1110"/>
      <c r="O5" s="1110"/>
      <c r="P5" s="3705"/>
      <c r="Q5" s="3706"/>
      <c r="R5" s="3711"/>
      <c r="S5" s="3712"/>
      <c r="T5" s="3711"/>
      <c r="U5" s="3712"/>
      <c r="V5" s="3715"/>
      <c r="W5" s="3715"/>
      <c r="X5" s="1152"/>
      <c r="Y5" s="3711"/>
      <c r="Z5" s="3712"/>
      <c r="AA5" s="3697"/>
      <c r="AB5" s="3697"/>
      <c r="AC5" s="3697"/>
    </row>
    <row r="6" spans="1:29" ht="15">
      <c r="A6" s="965"/>
      <c r="B6" s="966"/>
      <c r="C6" s="3726" t="s">
        <v>1144</v>
      </c>
      <c r="D6" s="3727"/>
      <c r="E6" s="3728" t="s">
        <v>1144</v>
      </c>
      <c r="F6" s="3729"/>
      <c r="G6" s="3726" t="s">
        <v>1144</v>
      </c>
      <c r="H6" s="3727"/>
      <c r="I6" s="3726" t="s">
        <v>1144</v>
      </c>
      <c r="J6" s="3727"/>
      <c r="K6" s="1108" t="s">
        <v>1146</v>
      </c>
      <c r="L6" s="1109"/>
      <c r="M6" s="1110"/>
      <c r="N6" s="1110"/>
      <c r="O6" s="1110"/>
      <c r="P6" s="3707"/>
      <c r="Q6" s="3708"/>
      <c r="R6" s="3711"/>
      <c r="S6" s="3712"/>
      <c r="T6" s="3713"/>
      <c r="U6" s="3714"/>
      <c r="V6" s="3715"/>
      <c r="W6" s="3715"/>
      <c r="X6" s="1152"/>
      <c r="Y6" s="3713"/>
      <c r="Z6" s="3714"/>
      <c r="AA6" s="3698"/>
      <c r="AB6" s="3698"/>
      <c r="AC6" s="3698"/>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720" t="s">
        <v>1148</v>
      </c>
      <c r="Q7" s="3731"/>
      <c r="R7" s="1153" t="s">
        <v>1149</v>
      </c>
      <c r="S7" s="1154">
        <f t="shared" ref="S7:S14" si="0">F7</f>
        <v>100</v>
      </c>
      <c r="T7" s="1153" t="s">
        <v>1149</v>
      </c>
      <c r="U7" s="1154">
        <f t="shared" ref="U7:U14" si="1">H7</f>
        <v>100</v>
      </c>
      <c r="V7" s="1153" t="s">
        <v>1149</v>
      </c>
      <c r="W7" s="1154">
        <f t="shared" ref="W7:W14" si="2">J7</f>
        <v>100</v>
      </c>
      <c r="X7" s="1155"/>
      <c r="Y7" s="3720" t="s">
        <v>1148</v>
      </c>
      <c r="Z7" s="3721"/>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20" t="s">
        <v>1152</v>
      </c>
      <c r="Q8" s="3721"/>
      <c r="R8" s="1153" t="s">
        <v>1149</v>
      </c>
      <c r="S8" s="1154">
        <f t="shared" si="0"/>
        <v>100</v>
      </c>
      <c r="T8" s="1153" t="s">
        <v>1149</v>
      </c>
      <c r="U8" s="1154">
        <f t="shared" si="1"/>
        <v>100</v>
      </c>
      <c r="V8" s="1153" t="s">
        <v>1149</v>
      </c>
      <c r="W8" s="1154">
        <f t="shared" si="2"/>
        <v>100</v>
      </c>
      <c r="X8" s="1155"/>
      <c r="Y8" s="3720" t="s">
        <v>1152</v>
      </c>
      <c r="Z8" s="3721"/>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02" t="s">
        <v>1155</v>
      </c>
      <c r="Q9" s="1157" t="str">
        <f t="shared" ref="Q9:Q14" si="6">B9</f>
        <v>用途</v>
      </c>
      <c r="R9" s="1153" t="s">
        <v>1149</v>
      </c>
      <c r="S9" s="1154">
        <f t="shared" si="0"/>
        <v>100</v>
      </c>
      <c r="T9" s="1153" t="s">
        <v>1149</v>
      </c>
      <c r="U9" s="1154">
        <f t="shared" si="1"/>
        <v>100</v>
      </c>
      <c r="V9" s="1153" t="s">
        <v>1149</v>
      </c>
      <c r="W9" s="1154">
        <f t="shared" si="2"/>
        <v>100</v>
      </c>
      <c r="X9" s="1155"/>
      <c r="Y9" s="3608"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02"/>
      <c r="Q10" s="1157" t="str">
        <f t="shared" si="6"/>
        <v>土地使用年限（年）</v>
      </c>
      <c r="R10" s="1153" t="s">
        <v>1149</v>
      </c>
      <c r="S10" s="1154">
        <f t="shared" si="0"/>
        <v>100</v>
      </c>
      <c r="T10" s="1153" t="s">
        <v>1149</v>
      </c>
      <c r="U10" s="1154">
        <f t="shared" si="1"/>
        <v>100</v>
      </c>
      <c r="V10" s="1153" t="s">
        <v>1149</v>
      </c>
      <c r="W10" s="1154">
        <f t="shared" si="2"/>
        <v>100</v>
      </c>
      <c r="X10" s="1155"/>
      <c r="Y10" s="3608"/>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02"/>
      <c r="Q11" s="1157">
        <f t="shared" si="6"/>
        <v>111</v>
      </c>
      <c r="R11" s="1153" t="s">
        <v>1149</v>
      </c>
      <c r="S11" s="1154">
        <f t="shared" si="0"/>
        <v>100</v>
      </c>
      <c r="T11" s="1153" t="s">
        <v>1149</v>
      </c>
      <c r="U11" s="1154">
        <f t="shared" si="1"/>
        <v>100</v>
      </c>
      <c r="V11" s="1153" t="s">
        <v>1149</v>
      </c>
      <c r="W11" s="1154">
        <f t="shared" si="2"/>
        <v>100</v>
      </c>
      <c r="X11" s="1155"/>
      <c r="Y11" s="3608"/>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02"/>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02"/>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22" t="s">
        <v>1162</v>
      </c>
      <c r="Q14" s="663" t="str">
        <f t="shared" si="6"/>
        <v>交通便捷度</v>
      </c>
      <c r="R14" s="1158" t="s">
        <v>1149</v>
      </c>
      <c r="S14" s="1159">
        <f t="shared" si="0"/>
        <v>102</v>
      </c>
      <c r="T14" s="1158" t="s">
        <v>1149</v>
      </c>
      <c r="U14" s="1159">
        <f t="shared" si="1"/>
        <v>102</v>
      </c>
      <c r="V14" s="1158" t="s">
        <v>1149</v>
      </c>
      <c r="W14" s="1159">
        <f t="shared" si="2"/>
        <v>102</v>
      </c>
      <c r="X14" s="1152"/>
      <c r="Y14" s="3722"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23"/>
      <c r="Q15" s="663"/>
      <c r="R15" s="1158"/>
      <c r="S15" s="1159"/>
      <c r="T15" s="1158"/>
      <c r="U15" s="1159"/>
      <c r="V15" s="1158"/>
      <c r="W15" s="1159"/>
      <c r="X15" s="1152"/>
      <c r="Y15" s="3723"/>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23"/>
      <c r="Q16" s="663" t="str">
        <f>B16</f>
        <v>公共配套设施</v>
      </c>
      <c r="R16" s="1158" t="s">
        <v>1149</v>
      </c>
      <c r="S16" s="1159">
        <f>F16</f>
        <v>100</v>
      </c>
      <c r="T16" s="1158" t="s">
        <v>1149</v>
      </c>
      <c r="U16" s="1159">
        <f>H16</f>
        <v>100</v>
      </c>
      <c r="V16" s="1158" t="s">
        <v>1149</v>
      </c>
      <c r="W16" s="1159">
        <f>J16</f>
        <v>100</v>
      </c>
      <c r="X16" s="1152"/>
      <c r="Y16" s="3723"/>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23"/>
      <c r="Q17" s="663"/>
      <c r="R17" s="1158"/>
      <c r="S17" s="1159"/>
      <c r="T17" s="1158"/>
      <c r="U17" s="1159"/>
      <c r="V17" s="1158"/>
      <c r="W17" s="1159"/>
      <c r="X17" s="1152"/>
      <c r="Y17" s="3723"/>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23"/>
      <c r="Q18" s="663" t="str">
        <f>B18</f>
        <v>基础设施水平</v>
      </c>
      <c r="R18" s="1158" t="s">
        <v>1149</v>
      </c>
      <c r="S18" s="1159">
        <f>F18</f>
        <v>100</v>
      </c>
      <c r="T18" s="1158" t="s">
        <v>1149</v>
      </c>
      <c r="U18" s="1159">
        <f>H18</f>
        <v>100</v>
      </c>
      <c r="V18" s="1158" t="s">
        <v>1149</v>
      </c>
      <c r="W18" s="1159">
        <f>J18</f>
        <v>100</v>
      </c>
      <c r="X18" s="1152"/>
      <c r="Y18" s="3723"/>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23"/>
      <c r="Q19" s="663"/>
      <c r="R19" s="1158"/>
      <c r="S19" s="1159"/>
      <c r="T19" s="1158"/>
      <c r="U19" s="1159"/>
      <c r="V19" s="1158"/>
      <c r="W19" s="1159"/>
      <c r="X19" s="1152"/>
      <c r="Y19" s="3723"/>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102</v>
      </c>
      <c r="I20" s="1009"/>
      <c r="J20" s="1006">
        <f>SUMIF(69:69,I21,70:70)-SUMIF(69:69,C21,70:70)+100</f>
        <v>102</v>
      </c>
      <c r="K20" s="1646">
        <f>'比较法-住宅'!K23</f>
        <v>2</v>
      </c>
      <c r="L20" s="1122"/>
      <c r="M20" s="1110"/>
      <c r="N20" s="1110"/>
      <c r="O20" s="1110"/>
      <c r="P20" s="3723"/>
      <c r="Q20" s="663" t="str">
        <f>B20</f>
        <v>自然及人文环境</v>
      </c>
      <c r="R20" s="1158" t="s">
        <v>1149</v>
      </c>
      <c r="S20" s="1159">
        <f>F20</f>
        <v>100</v>
      </c>
      <c r="T20" s="1158" t="s">
        <v>1149</v>
      </c>
      <c r="U20" s="1159">
        <f>H20</f>
        <v>102</v>
      </c>
      <c r="V20" s="1158" t="s">
        <v>1149</v>
      </c>
      <c r="W20" s="1159">
        <f>J20</f>
        <v>102</v>
      </c>
      <c r="X20" s="1152"/>
      <c r="Y20" s="3723"/>
      <c r="Z20" s="1142" t="str">
        <f>Q20</f>
        <v>自然及人文环境</v>
      </c>
      <c r="AA20" s="1169">
        <f t="shared" si="3"/>
        <v>1</v>
      </c>
      <c r="AB20" s="1169">
        <f t="shared" si="4"/>
        <v>0.98039215686274506</v>
      </c>
      <c r="AC20" s="1169">
        <f t="shared" si="5"/>
        <v>0.98039215686274506</v>
      </c>
    </row>
    <row r="21" spans="1:29" ht="15">
      <c r="A21" s="963"/>
      <c r="B21" s="1011"/>
      <c r="C21" s="1003" t="s">
        <v>1163</v>
      </c>
      <c r="D21" s="1004"/>
      <c r="E21" s="1003" t="s">
        <v>1163</v>
      </c>
      <c r="F21" s="1603"/>
      <c r="G21" s="1003" t="s">
        <v>1168</v>
      </c>
      <c r="H21" s="1004"/>
      <c r="I21" s="1003" t="s">
        <v>1168</v>
      </c>
      <c r="J21" s="1004"/>
      <c r="K21" s="1647"/>
      <c r="L21" s="1122"/>
      <c r="M21" s="1110"/>
      <c r="N21" s="1110"/>
      <c r="O21" s="1110"/>
      <c r="P21" s="3723"/>
      <c r="Q21" s="663"/>
      <c r="R21" s="1158"/>
      <c r="S21" s="1159"/>
      <c r="T21" s="1158"/>
      <c r="U21" s="1159"/>
      <c r="V21" s="1158"/>
      <c r="W21" s="1159"/>
      <c r="X21" s="1152"/>
      <c r="Y21" s="3723"/>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23"/>
      <c r="Q22" s="663" t="str">
        <f>B22</f>
        <v>楼层</v>
      </c>
      <c r="R22" s="1158" t="s">
        <v>1149</v>
      </c>
      <c r="S22" s="1159">
        <f>F22</f>
        <v>100</v>
      </c>
      <c r="T22" s="1158" t="s">
        <v>1149</v>
      </c>
      <c r="U22" s="1159">
        <f>H22</f>
        <v>100</v>
      </c>
      <c r="V22" s="1158" t="s">
        <v>1149</v>
      </c>
      <c r="W22" s="1159">
        <f>J22</f>
        <v>100</v>
      </c>
      <c r="X22" s="1152"/>
      <c r="Y22" s="3723"/>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23"/>
      <c r="Q23" s="663">
        <f>B23</f>
        <v>111</v>
      </c>
      <c r="R23" s="1158" t="s">
        <v>1149</v>
      </c>
      <c r="S23" s="1159">
        <f>F23</f>
        <v>100</v>
      </c>
      <c r="T23" s="1158" t="s">
        <v>1149</v>
      </c>
      <c r="U23" s="1159">
        <f>H23</f>
        <v>100</v>
      </c>
      <c r="V23" s="1158" t="s">
        <v>1149</v>
      </c>
      <c r="W23" s="1159">
        <f>J23</f>
        <v>100</v>
      </c>
      <c r="X23" s="1152"/>
      <c r="Y23" s="3723"/>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23"/>
      <c r="Q24" s="663">
        <f t="shared" ref="Q24:Q36" si="11">B24</f>
        <v>111</v>
      </c>
      <c r="R24" s="1158" t="s">
        <v>1149</v>
      </c>
      <c r="S24" s="1159">
        <f>F24</f>
        <v>100</v>
      </c>
      <c r="T24" s="1158" t="s">
        <v>1149</v>
      </c>
      <c r="U24" s="1159">
        <f>H24</f>
        <v>100</v>
      </c>
      <c r="V24" s="1158" t="s">
        <v>1149</v>
      </c>
      <c r="W24" s="1159">
        <f>J24</f>
        <v>100</v>
      </c>
      <c r="X24" s="1152"/>
      <c r="Y24" s="3723"/>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23"/>
      <c r="Q25" s="1157">
        <f t="shared" si="11"/>
        <v>111</v>
      </c>
      <c r="R25" s="1153" t="s">
        <v>1149</v>
      </c>
      <c r="S25" s="1154">
        <f>F25</f>
        <v>100</v>
      </c>
      <c r="T25" s="1153" t="s">
        <v>1149</v>
      </c>
      <c r="U25" s="1154">
        <f>H25</f>
        <v>100</v>
      </c>
      <c r="V25" s="1153" t="s">
        <v>1149</v>
      </c>
      <c r="W25" s="1154">
        <f>J25</f>
        <v>100</v>
      </c>
      <c r="X25" s="1155"/>
      <c r="Y25" s="3723"/>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24"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25"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25"/>
      <c r="Q27" s="1650" t="str">
        <f t="shared" si="11"/>
        <v>项目停车位配比</v>
      </c>
      <c r="R27" s="1160" t="s">
        <v>1149</v>
      </c>
      <c r="S27" s="1161">
        <f t="shared" si="12"/>
        <v>100</v>
      </c>
      <c r="T27" s="1160" t="s">
        <v>1149</v>
      </c>
      <c r="U27" s="1161">
        <f t="shared" si="13"/>
        <v>100</v>
      </c>
      <c r="V27" s="1160" t="s">
        <v>1149</v>
      </c>
      <c r="W27" s="1161">
        <f t="shared" si="14"/>
        <v>100</v>
      </c>
      <c r="X27" s="1162"/>
      <c r="Y27" s="3725"/>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25"/>
      <c r="Q28" s="663" t="str">
        <f t="shared" si="11"/>
        <v>公共部分装修</v>
      </c>
      <c r="R28" s="1158" t="s">
        <v>1149</v>
      </c>
      <c r="S28" s="1159">
        <f t="shared" si="12"/>
        <v>100</v>
      </c>
      <c r="T28" s="1158" t="s">
        <v>1149</v>
      </c>
      <c r="U28" s="1159">
        <f t="shared" si="13"/>
        <v>100</v>
      </c>
      <c r="V28" s="1158" t="s">
        <v>1149</v>
      </c>
      <c r="W28" s="1159">
        <f t="shared" si="14"/>
        <v>100</v>
      </c>
      <c r="X28" s="1152"/>
      <c r="Y28" s="3725"/>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25"/>
      <c r="Q29" s="663" t="str">
        <f t="shared" si="11"/>
        <v>成新率</v>
      </c>
      <c r="R29" s="1158" t="s">
        <v>1149</v>
      </c>
      <c r="S29" s="1159">
        <f t="shared" si="12"/>
        <v>100</v>
      </c>
      <c r="T29" s="1158" t="s">
        <v>1149</v>
      </c>
      <c r="U29" s="1159">
        <f t="shared" si="13"/>
        <v>100</v>
      </c>
      <c r="V29" s="1158" t="s">
        <v>1149</v>
      </c>
      <c r="W29" s="1159">
        <f t="shared" si="14"/>
        <v>100</v>
      </c>
      <c r="X29" s="1152"/>
      <c r="Y29" s="3725"/>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25"/>
      <c r="Q30" s="663" t="str">
        <f t="shared" si="11"/>
        <v>物业等级</v>
      </c>
      <c r="R30" s="1158" t="s">
        <v>1149</v>
      </c>
      <c r="S30" s="1159">
        <f t="shared" si="12"/>
        <v>100</v>
      </c>
      <c r="T30" s="1158" t="s">
        <v>1149</v>
      </c>
      <c r="U30" s="1159">
        <f t="shared" si="13"/>
        <v>100</v>
      </c>
      <c r="V30" s="1158" t="s">
        <v>1149</v>
      </c>
      <c r="W30" s="1159">
        <f t="shared" si="14"/>
        <v>100</v>
      </c>
      <c r="X30" s="1152"/>
      <c r="Y30" s="3725"/>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25"/>
      <c r="Q31" s="1157" t="str">
        <f t="shared" si="11"/>
        <v>停车位面积</v>
      </c>
      <c r="R31" s="1153" t="s">
        <v>1149</v>
      </c>
      <c r="S31" s="1154">
        <f t="shared" si="12"/>
        <v>100</v>
      </c>
      <c r="T31" s="1153" t="s">
        <v>1149</v>
      </c>
      <c r="U31" s="1154">
        <f t="shared" si="13"/>
        <v>100</v>
      </c>
      <c r="V31" s="1153" t="s">
        <v>1149</v>
      </c>
      <c r="W31" s="1154">
        <f t="shared" si="14"/>
        <v>100</v>
      </c>
      <c r="X31" s="1155"/>
      <c r="Y31" s="3725"/>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25" t="s">
        <v>1175</v>
      </c>
      <c r="Q32" s="663" t="str">
        <f t="shared" si="11"/>
        <v>车位类型</v>
      </c>
      <c r="R32" s="1158" t="s">
        <v>1149</v>
      </c>
      <c r="S32" s="1159">
        <f t="shared" si="12"/>
        <v>100</v>
      </c>
      <c r="T32" s="1158" t="s">
        <v>1149</v>
      </c>
      <c r="U32" s="1159">
        <f t="shared" si="13"/>
        <v>100</v>
      </c>
      <c r="V32" s="1158" t="s">
        <v>1149</v>
      </c>
      <c r="W32" s="1159">
        <f t="shared" si="14"/>
        <v>100</v>
      </c>
      <c r="X32" s="1152"/>
      <c r="Y32" s="3725"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25"/>
      <c r="Q33" s="663" t="str">
        <f t="shared" si="11"/>
        <v>是否直接入户</v>
      </c>
      <c r="R33" s="1158" t="s">
        <v>1149</v>
      </c>
      <c r="S33" s="1159">
        <f t="shared" si="12"/>
        <v>100</v>
      </c>
      <c r="T33" s="1158" t="s">
        <v>1149</v>
      </c>
      <c r="U33" s="1159">
        <f t="shared" si="13"/>
        <v>100</v>
      </c>
      <c r="V33" s="1158" t="s">
        <v>1149</v>
      </c>
      <c r="W33" s="1159">
        <f t="shared" si="14"/>
        <v>100</v>
      </c>
      <c r="X33" s="1152"/>
      <c r="Y33" s="3725"/>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25"/>
      <c r="Q34" s="663">
        <f t="shared" si="11"/>
        <v>111</v>
      </c>
      <c r="R34" s="1158" t="s">
        <v>1149</v>
      </c>
      <c r="S34" s="1159">
        <f t="shared" si="12"/>
        <v>100</v>
      </c>
      <c r="T34" s="1158" t="s">
        <v>1149</v>
      </c>
      <c r="U34" s="1159">
        <f t="shared" si="13"/>
        <v>100</v>
      </c>
      <c r="V34" s="1158" t="s">
        <v>1149</v>
      </c>
      <c r="W34" s="1159">
        <f t="shared" si="14"/>
        <v>100</v>
      </c>
      <c r="X34" s="1152"/>
      <c r="Y34" s="3725"/>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25"/>
      <c r="Q35" s="1650">
        <f t="shared" si="11"/>
        <v>111</v>
      </c>
      <c r="R35" s="1160" t="s">
        <v>1149</v>
      </c>
      <c r="S35" s="1161">
        <f t="shared" si="12"/>
        <v>100</v>
      </c>
      <c r="T35" s="1160" t="s">
        <v>1149</v>
      </c>
      <c r="U35" s="1161">
        <f t="shared" si="13"/>
        <v>100</v>
      </c>
      <c r="V35" s="1160" t="s">
        <v>1149</v>
      </c>
      <c r="W35" s="1161">
        <f t="shared" si="14"/>
        <v>100</v>
      </c>
      <c r="X35" s="1162"/>
      <c r="Y35" s="3725"/>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25"/>
      <c r="Q36" s="663">
        <f t="shared" si="11"/>
        <v>111</v>
      </c>
      <c r="R36" s="1158" t="s">
        <v>1149</v>
      </c>
      <c r="S36" s="1159">
        <f t="shared" si="12"/>
        <v>100</v>
      </c>
      <c r="T36" s="1158" t="s">
        <v>1149</v>
      </c>
      <c r="U36" s="1159">
        <f t="shared" si="13"/>
        <v>100</v>
      </c>
      <c r="V36" s="1158" t="s">
        <v>1149</v>
      </c>
      <c r="W36" s="1159">
        <f t="shared" si="14"/>
        <v>100</v>
      </c>
      <c r="X36" s="1152"/>
      <c r="Y36" s="3725"/>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02" t="str">
        <f>A37</f>
        <v>成交单价</v>
      </c>
      <c r="Q37" s="3702"/>
      <c r="R37" s="3765">
        <f>E37</f>
        <v>11217</v>
      </c>
      <c r="S37" s="3765"/>
      <c r="T37" s="3765">
        <f>G37</f>
        <v>13053</v>
      </c>
      <c r="U37" s="3765"/>
      <c r="V37" s="3765">
        <f>I37</f>
        <v>10921</v>
      </c>
      <c r="W37" s="3765"/>
      <c r="X37" s="1098"/>
      <c r="Y37" s="1171"/>
      <c r="Z37" s="1098"/>
      <c r="AA37" s="1098"/>
      <c r="AB37" s="1098"/>
      <c r="AC37" s="1098"/>
    </row>
    <row r="38" spans="1:29" ht="15">
      <c r="A38" s="1049" t="s">
        <v>1186</v>
      </c>
      <c r="B38" s="1632" t="str">
        <f>B37</f>
        <v>元/平方米</v>
      </c>
      <c r="C38" s="1633">
        <f>R39</f>
        <v>11347</v>
      </c>
      <c r="D38" s="1052" t="s">
        <v>1187</v>
      </c>
      <c r="E38" s="1634">
        <f>R38</f>
        <v>10997</v>
      </c>
      <c r="F38" s="1053"/>
      <c r="G38" s="1633">
        <f>T38</f>
        <v>12546</v>
      </c>
      <c r="H38" s="1053"/>
      <c r="I38" s="1634">
        <f>V38</f>
        <v>10497</v>
      </c>
      <c r="J38" s="1053"/>
      <c r="K38" s="1135">
        <f>F38+H38+J38</f>
        <v>0</v>
      </c>
      <c r="L38" s="1134"/>
      <c r="M38" s="1058"/>
      <c r="N38" s="1058"/>
      <c r="O38" s="1058"/>
      <c r="P38" s="3702" t="str">
        <f>A38</f>
        <v>比较价值（元/平方米）</v>
      </c>
      <c r="Q38" s="3702"/>
      <c r="R38" s="3765">
        <f>IF(F1="售价",ROUND(PRODUCT(R37,AA7:AA36),0),ROUND(PRODUCT(R37,AA7:AA36),1))</f>
        <v>10997</v>
      </c>
      <c r="S38" s="3765"/>
      <c r="T38" s="3765">
        <f>IF(F1="售价",ROUND(PRODUCT(T37,AB7:AB36),0),ROUND(PRODUCT(T37,AB7:AB36),1))</f>
        <v>12546</v>
      </c>
      <c r="U38" s="3765"/>
      <c r="V38" s="3765">
        <f>IF(F1="售价",ROUND(PRODUCT(V37,AC7:AC36),0),ROUND(PRODUCT(V37,AC7:AC36),1))</f>
        <v>10497</v>
      </c>
      <c r="W38" s="3765"/>
      <c r="X38" s="1098"/>
      <c r="Y38" s="1098"/>
      <c r="Z38" s="1098"/>
      <c r="AA38" s="1098"/>
      <c r="AB38" s="1098"/>
      <c r="AC38" s="1098"/>
    </row>
    <row r="39" spans="1:29" ht="15">
      <c r="A39" s="1055" t="s">
        <v>1743</v>
      </c>
      <c r="B39" s="1056"/>
      <c r="C39" s="1635">
        <f>R39</f>
        <v>11347</v>
      </c>
      <c r="D39" s="1635"/>
      <c r="E39" s="1635"/>
      <c r="F39" s="1635"/>
      <c r="G39" s="1635"/>
      <c r="H39" s="1635"/>
      <c r="I39" s="1635"/>
      <c r="J39" s="1635"/>
      <c r="K39" s="1701"/>
      <c r="L39" s="1134"/>
      <c r="M39" s="1058"/>
      <c r="N39" s="1058"/>
      <c r="O39" s="1058"/>
      <c r="P39" s="3717" t="str">
        <f>A39</f>
        <v>估价对象XX用房的比较价值（楼面单价，元/平方米）</v>
      </c>
      <c r="Q39" s="3718"/>
      <c r="R39" s="3796">
        <f>IF(F1="售价",ROUND(IF(D38="简单平均",AVERAGE(R38:W38),R38*F38+T38*H38+V38*J38),0),ROUND(IF(D38="简单平均",AVERAGE(R38:V38),R38*F38+T38*H38+V38*J38),1))</f>
        <v>11347</v>
      </c>
      <c r="S39" s="3796"/>
      <c r="T39" s="3796"/>
      <c r="U39" s="3796"/>
      <c r="V39" s="3796"/>
      <c r="W39" s="3796"/>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4.041128646580594E-2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0.14085659725379651</v>
      </c>
      <c r="F43" s="1062" t="str">
        <f>IF(OR(E43&gt;=0.2,E43&lt;=-0.2),"超过20%","")</f>
        <v/>
      </c>
      <c r="G43" s="1061">
        <f>IF(G38&lt;I38,I38/G38-1,G38/I38-1)</f>
        <v>0.19519862817947975</v>
      </c>
      <c r="H43" s="1062" t="str">
        <f>IF(OR(G43&gt;=0.2,G43&lt;=-0.2),"超过20%","")</f>
        <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99" t="s">
        <v>1134</v>
      </c>
      <c r="D4" s="3732"/>
      <c r="E4" s="3733" t="s">
        <v>1135</v>
      </c>
      <c r="F4" s="3734"/>
      <c r="G4" s="3699" t="s">
        <v>1136</v>
      </c>
      <c r="H4" s="3732"/>
      <c r="I4" s="3699" t="s">
        <v>1137</v>
      </c>
      <c r="J4" s="3732"/>
      <c r="K4" s="1108" t="s">
        <v>1138</v>
      </c>
      <c r="L4" s="1109"/>
      <c r="M4" s="1110"/>
      <c r="N4" s="1110"/>
      <c r="O4" s="1110"/>
      <c r="P4" s="3703" t="s">
        <v>1139</v>
      </c>
      <c r="Q4" s="3704"/>
      <c r="R4" s="3709" t="s">
        <v>1135</v>
      </c>
      <c r="S4" s="3710"/>
      <c r="T4" s="3709" t="s">
        <v>1136</v>
      </c>
      <c r="U4" s="3710"/>
      <c r="V4" s="3715" t="s">
        <v>1137</v>
      </c>
      <c r="W4" s="3715"/>
      <c r="X4" s="1152"/>
      <c r="Y4" s="3709" t="s">
        <v>1139</v>
      </c>
      <c r="Z4" s="3710"/>
      <c r="AA4" s="3696" t="s">
        <v>1135</v>
      </c>
      <c r="AB4" s="3697" t="s">
        <v>1136</v>
      </c>
      <c r="AC4" s="3696" t="s">
        <v>1137</v>
      </c>
    </row>
    <row r="5" spans="1:29" ht="15">
      <c r="A5" s="963"/>
      <c r="B5" s="964"/>
      <c r="C5" s="3735" t="s">
        <v>1140</v>
      </c>
      <c r="D5" s="3736"/>
      <c r="E5" s="3737" t="s">
        <v>1141</v>
      </c>
      <c r="F5" s="3738"/>
      <c r="G5" s="3735" t="s">
        <v>1142</v>
      </c>
      <c r="H5" s="3736"/>
      <c r="I5" s="3735" t="s">
        <v>1143</v>
      </c>
      <c r="J5" s="3736"/>
      <c r="K5" s="1108"/>
      <c r="L5" s="1109"/>
      <c r="M5" s="1110"/>
      <c r="N5" s="1110"/>
      <c r="O5" s="1110"/>
      <c r="P5" s="3705"/>
      <c r="Q5" s="3706"/>
      <c r="R5" s="3711"/>
      <c r="S5" s="3712"/>
      <c r="T5" s="3711"/>
      <c r="U5" s="3712"/>
      <c r="V5" s="3715"/>
      <c r="W5" s="3715"/>
      <c r="X5" s="1152"/>
      <c r="Y5" s="3711"/>
      <c r="Z5" s="3712"/>
      <c r="AA5" s="3697"/>
      <c r="AB5" s="3697"/>
      <c r="AC5" s="3697"/>
    </row>
    <row r="6" spans="1:29" ht="15">
      <c r="A6" s="965"/>
      <c r="B6" s="966"/>
      <c r="C6" s="3726" t="s">
        <v>1144</v>
      </c>
      <c r="D6" s="3727"/>
      <c r="E6" s="3728" t="s">
        <v>1144</v>
      </c>
      <c r="F6" s="3729"/>
      <c r="G6" s="3726" t="s">
        <v>1144</v>
      </c>
      <c r="H6" s="3727"/>
      <c r="I6" s="3726" t="s">
        <v>1144</v>
      </c>
      <c r="J6" s="3727"/>
      <c r="K6" s="1108" t="s">
        <v>1146</v>
      </c>
      <c r="L6" s="1109"/>
      <c r="M6" s="1110"/>
      <c r="N6" s="1110"/>
      <c r="O6" s="1110"/>
      <c r="P6" s="3707"/>
      <c r="Q6" s="3708"/>
      <c r="R6" s="3711"/>
      <c r="S6" s="3712"/>
      <c r="T6" s="3713"/>
      <c r="U6" s="3714"/>
      <c r="V6" s="3715"/>
      <c r="W6" s="3715"/>
      <c r="X6" s="1152"/>
      <c r="Y6" s="3713"/>
      <c r="Z6" s="3714"/>
      <c r="AA6" s="3698"/>
      <c r="AB6" s="3698"/>
      <c r="AC6" s="3698"/>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20" t="s">
        <v>1148</v>
      </c>
      <c r="Q7" s="3731"/>
      <c r="R7" s="1153" t="s">
        <v>1149</v>
      </c>
      <c r="S7" s="1154">
        <f t="shared" ref="S7:S14" si="0">F7</f>
        <v>0</v>
      </c>
      <c r="T7" s="1153" t="s">
        <v>1149</v>
      </c>
      <c r="U7" s="1154">
        <f t="shared" ref="U7:U14" si="1">H7</f>
        <v>0</v>
      </c>
      <c r="V7" s="1153" t="s">
        <v>1149</v>
      </c>
      <c r="W7" s="1154">
        <f t="shared" ref="W7:W14" si="2">J7</f>
        <v>0</v>
      </c>
      <c r="X7" s="1155"/>
      <c r="Y7" s="3720" t="s">
        <v>1148</v>
      </c>
      <c r="Z7" s="3721"/>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20" t="s">
        <v>1152</v>
      </c>
      <c r="Q8" s="3721"/>
      <c r="R8" s="1153" t="s">
        <v>1149</v>
      </c>
      <c r="S8" s="1154">
        <f t="shared" si="0"/>
        <v>100</v>
      </c>
      <c r="T8" s="1153" t="s">
        <v>1149</v>
      </c>
      <c r="U8" s="1154">
        <f t="shared" si="1"/>
        <v>100</v>
      </c>
      <c r="V8" s="1153" t="s">
        <v>1149</v>
      </c>
      <c r="W8" s="1154">
        <f t="shared" si="2"/>
        <v>100</v>
      </c>
      <c r="X8" s="1155"/>
      <c r="Y8" s="3720" t="s">
        <v>1152</v>
      </c>
      <c r="Z8" s="3721"/>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02" t="s">
        <v>1155</v>
      </c>
      <c r="Q9" s="1157" t="str">
        <f t="shared" ref="Q9:Q14" si="6">B9</f>
        <v>用途</v>
      </c>
      <c r="R9" s="1153" t="s">
        <v>1149</v>
      </c>
      <c r="S9" s="1154">
        <f t="shared" si="0"/>
        <v>100</v>
      </c>
      <c r="T9" s="1153" t="s">
        <v>1149</v>
      </c>
      <c r="U9" s="1154">
        <f t="shared" si="1"/>
        <v>100</v>
      </c>
      <c r="V9" s="1153" t="s">
        <v>1149</v>
      </c>
      <c r="W9" s="1154">
        <f t="shared" si="2"/>
        <v>100</v>
      </c>
      <c r="X9" s="1155"/>
      <c r="Y9" s="3608"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02"/>
      <c r="Q10" s="1157" t="str">
        <f t="shared" si="6"/>
        <v>土地使用年限（年）</v>
      </c>
      <c r="R10" s="1153" t="s">
        <v>1149</v>
      </c>
      <c r="S10" s="1154">
        <f t="shared" si="0"/>
        <v>100</v>
      </c>
      <c r="T10" s="1153" t="s">
        <v>1149</v>
      </c>
      <c r="U10" s="1154">
        <f t="shared" si="1"/>
        <v>100</v>
      </c>
      <c r="V10" s="1153" t="s">
        <v>1149</v>
      </c>
      <c r="W10" s="1154">
        <f t="shared" si="2"/>
        <v>100</v>
      </c>
      <c r="X10" s="1155"/>
      <c r="Y10" s="3608"/>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02"/>
      <c r="Q11" s="1157">
        <f t="shared" si="6"/>
        <v>111</v>
      </c>
      <c r="R11" s="1153" t="s">
        <v>1149</v>
      </c>
      <c r="S11" s="1154">
        <f t="shared" si="0"/>
        <v>100</v>
      </c>
      <c r="T11" s="1153" t="s">
        <v>1149</v>
      </c>
      <c r="U11" s="1154">
        <f t="shared" si="1"/>
        <v>100</v>
      </c>
      <c r="V11" s="1153" t="s">
        <v>1149</v>
      </c>
      <c r="W11" s="1154">
        <f t="shared" si="2"/>
        <v>100</v>
      </c>
      <c r="X11" s="1155"/>
      <c r="Y11" s="3608"/>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02"/>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02"/>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22" t="s">
        <v>1162</v>
      </c>
      <c r="Q14" s="663" t="str">
        <f t="shared" si="6"/>
        <v>交通便捷度</v>
      </c>
      <c r="R14" s="1158" t="s">
        <v>1149</v>
      </c>
      <c r="S14" s="1159">
        <f t="shared" si="0"/>
        <v>100</v>
      </c>
      <c r="T14" s="1158" t="s">
        <v>1149</v>
      </c>
      <c r="U14" s="1159">
        <f t="shared" si="1"/>
        <v>100</v>
      </c>
      <c r="V14" s="1158" t="s">
        <v>1149</v>
      </c>
      <c r="W14" s="1159">
        <f t="shared" si="2"/>
        <v>100</v>
      </c>
      <c r="X14" s="1152"/>
      <c r="Y14" s="3722"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23"/>
      <c r="Q15" s="663"/>
      <c r="R15" s="1158"/>
      <c r="S15" s="1159"/>
      <c r="T15" s="1158"/>
      <c r="U15" s="1159"/>
      <c r="V15" s="1158"/>
      <c r="W15" s="1159"/>
      <c r="X15" s="1152"/>
      <c r="Y15" s="3723"/>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23"/>
      <c r="Q16" s="663" t="str">
        <f>B16</f>
        <v>公共配套设施</v>
      </c>
      <c r="R16" s="1158" t="s">
        <v>1149</v>
      </c>
      <c r="S16" s="1159">
        <f>F16</f>
        <v>100</v>
      </c>
      <c r="T16" s="1158" t="s">
        <v>1149</v>
      </c>
      <c r="U16" s="1159">
        <f>H16</f>
        <v>100</v>
      </c>
      <c r="V16" s="1158" t="s">
        <v>1149</v>
      </c>
      <c r="W16" s="1159">
        <f>J16</f>
        <v>100</v>
      </c>
      <c r="X16" s="1152"/>
      <c r="Y16" s="3723"/>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23"/>
      <c r="Q17" s="663"/>
      <c r="R17" s="1158"/>
      <c r="S17" s="1159"/>
      <c r="T17" s="1158"/>
      <c r="U17" s="1159"/>
      <c r="V17" s="1158"/>
      <c r="W17" s="1159"/>
      <c r="X17" s="1152"/>
      <c r="Y17" s="3723"/>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23"/>
      <c r="Q18" s="663" t="str">
        <f>B18</f>
        <v>基础设施水平</v>
      </c>
      <c r="R18" s="1158" t="s">
        <v>1149</v>
      </c>
      <c r="S18" s="1159">
        <f>F18</f>
        <v>100</v>
      </c>
      <c r="T18" s="1158" t="s">
        <v>1149</v>
      </c>
      <c r="U18" s="1159">
        <f>H18</f>
        <v>100</v>
      </c>
      <c r="V18" s="1158" t="s">
        <v>1149</v>
      </c>
      <c r="W18" s="1159">
        <f>J18</f>
        <v>100</v>
      </c>
      <c r="X18" s="1152"/>
      <c r="Y18" s="3723"/>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23"/>
      <c r="Q19" s="663"/>
      <c r="R19" s="1158"/>
      <c r="S19" s="1159"/>
      <c r="T19" s="1158"/>
      <c r="U19" s="1159"/>
      <c r="V19" s="1158"/>
      <c r="W19" s="1159"/>
      <c r="X19" s="1152"/>
      <c r="Y19" s="3723"/>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23"/>
      <c r="Q20" s="663" t="str">
        <f>B20</f>
        <v>自然及人文环境</v>
      </c>
      <c r="R20" s="1158" t="s">
        <v>1149</v>
      </c>
      <c r="S20" s="1159">
        <f>F20</f>
        <v>100</v>
      </c>
      <c r="T20" s="1158" t="s">
        <v>1149</v>
      </c>
      <c r="U20" s="1159">
        <f>H20</f>
        <v>100</v>
      </c>
      <c r="V20" s="1158" t="s">
        <v>1149</v>
      </c>
      <c r="W20" s="1159">
        <f>J20</f>
        <v>100</v>
      </c>
      <c r="X20" s="1152"/>
      <c r="Y20" s="3723"/>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23"/>
      <c r="Q21" s="663"/>
      <c r="R21" s="1158"/>
      <c r="S21" s="1159"/>
      <c r="T21" s="1158"/>
      <c r="U21" s="1159"/>
      <c r="V21" s="1158"/>
      <c r="W21" s="1159"/>
      <c r="X21" s="1152"/>
      <c r="Y21" s="3723"/>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23"/>
      <c r="Q22" s="663" t="str">
        <f>B22</f>
        <v>楼层</v>
      </c>
      <c r="R22" s="1158" t="s">
        <v>1149</v>
      </c>
      <c r="S22" s="1159">
        <f>F22</f>
        <v>100</v>
      </c>
      <c r="T22" s="1158" t="s">
        <v>1149</v>
      </c>
      <c r="U22" s="1159">
        <f>H22</f>
        <v>100</v>
      </c>
      <c r="V22" s="1158" t="s">
        <v>1149</v>
      </c>
      <c r="W22" s="1159">
        <f>J22</f>
        <v>100</v>
      </c>
      <c r="X22" s="1152"/>
      <c r="Y22" s="3723"/>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23"/>
      <c r="Q23" s="663">
        <f>B23</f>
        <v>111</v>
      </c>
      <c r="R23" s="1158" t="s">
        <v>1149</v>
      </c>
      <c r="S23" s="1159">
        <f>F23</f>
        <v>100</v>
      </c>
      <c r="T23" s="1158" t="s">
        <v>1149</v>
      </c>
      <c r="U23" s="1159">
        <f>H23</f>
        <v>100</v>
      </c>
      <c r="V23" s="1158" t="s">
        <v>1149</v>
      </c>
      <c r="W23" s="1159">
        <f>J23</f>
        <v>100</v>
      </c>
      <c r="X23" s="1152"/>
      <c r="Y23" s="3723"/>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23"/>
      <c r="Q24" s="663">
        <f t="shared" ref="Q24:Q34" si="11">B24</f>
        <v>111</v>
      </c>
      <c r="R24" s="1158" t="s">
        <v>1149</v>
      </c>
      <c r="S24" s="1159">
        <f>F24</f>
        <v>100</v>
      </c>
      <c r="T24" s="1158" t="s">
        <v>1149</v>
      </c>
      <c r="U24" s="1159">
        <f>H24</f>
        <v>100</v>
      </c>
      <c r="V24" s="1158" t="s">
        <v>1149</v>
      </c>
      <c r="W24" s="1159">
        <f>J24</f>
        <v>100</v>
      </c>
      <c r="X24" s="1152"/>
      <c r="Y24" s="3723"/>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23"/>
      <c r="Q25" s="1157">
        <f t="shared" si="11"/>
        <v>111</v>
      </c>
      <c r="R25" s="1153" t="s">
        <v>1149</v>
      </c>
      <c r="S25" s="1154">
        <f>F25</f>
        <v>100</v>
      </c>
      <c r="T25" s="1153" t="s">
        <v>1149</v>
      </c>
      <c r="U25" s="1154">
        <f>H25</f>
        <v>100</v>
      </c>
      <c r="V25" s="1153" t="s">
        <v>1149</v>
      </c>
      <c r="W25" s="1154">
        <f>J25</f>
        <v>100</v>
      </c>
      <c r="X25" s="1155"/>
      <c r="Y25" s="3723"/>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24"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25"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25"/>
      <c r="Q27" s="1650" t="str">
        <f t="shared" si="11"/>
        <v>成新率</v>
      </c>
      <c r="R27" s="1160" t="s">
        <v>1149</v>
      </c>
      <c r="S27" s="1161" t="e">
        <f t="shared" si="12"/>
        <v>#N/A</v>
      </c>
      <c r="T27" s="1160" t="s">
        <v>1149</v>
      </c>
      <c r="U27" s="1161" t="e">
        <f t="shared" si="13"/>
        <v>#N/A</v>
      </c>
      <c r="V27" s="1160" t="s">
        <v>1149</v>
      </c>
      <c r="W27" s="1161" t="e">
        <f t="shared" si="14"/>
        <v>#N/A</v>
      </c>
      <c r="X27" s="1162"/>
      <c r="Y27" s="3725"/>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25"/>
      <c r="Q28" s="663" t="str">
        <f t="shared" si="11"/>
        <v>物业等级</v>
      </c>
      <c r="R28" s="1158" t="s">
        <v>1149</v>
      </c>
      <c r="S28" s="1159">
        <f t="shared" si="12"/>
        <v>100</v>
      </c>
      <c r="T28" s="1158" t="s">
        <v>1149</v>
      </c>
      <c r="U28" s="1159">
        <f t="shared" si="13"/>
        <v>100</v>
      </c>
      <c r="V28" s="1158" t="s">
        <v>1149</v>
      </c>
      <c r="W28" s="1159">
        <f t="shared" si="14"/>
        <v>100</v>
      </c>
      <c r="X28" s="1152"/>
      <c r="Y28" s="3725"/>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25"/>
      <c r="Q29" s="663" t="str">
        <f t="shared" si="11"/>
        <v>有无电梯</v>
      </c>
      <c r="R29" s="1158" t="s">
        <v>1149</v>
      </c>
      <c r="S29" s="1159">
        <f t="shared" si="12"/>
        <v>100</v>
      </c>
      <c r="T29" s="1158" t="s">
        <v>1149</v>
      </c>
      <c r="U29" s="1159">
        <f t="shared" si="13"/>
        <v>100</v>
      </c>
      <c r="V29" s="1158" t="s">
        <v>1149</v>
      </c>
      <c r="W29" s="1159">
        <f t="shared" si="14"/>
        <v>100</v>
      </c>
      <c r="X29" s="1152"/>
      <c r="Y29" s="3725"/>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25"/>
      <c r="Q30" s="663" t="str">
        <f t="shared" si="11"/>
        <v>建筑面积</v>
      </c>
      <c r="R30" s="1158" t="s">
        <v>1149</v>
      </c>
      <c r="S30" s="1159" t="e">
        <f t="shared" si="12"/>
        <v>#N/A</v>
      </c>
      <c r="T30" s="1158" t="s">
        <v>1149</v>
      </c>
      <c r="U30" s="1159" t="e">
        <f t="shared" si="13"/>
        <v>#N/A</v>
      </c>
      <c r="V30" s="1158" t="s">
        <v>1149</v>
      </c>
      <c r="W30" s="1159" t="e">
        <f t="shared" si="14"/>
        <v>#N/A</v>
      </c>
      <c r="X30" s="1152"/>
      <c r="Y30" s="3725"/>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25"/>
      <c r="Q31" s="1157" t="str">
        <f t="shared" si="11"/>
        <v>是否封闭</v>
      </c>
      <c r="R31" s="1153" t="s">
        <v>1149</v>
      </c>
      <c r="S31" s="1154">
        <f t="shared" si="12"/>
        <v>100</v>
      </c>
      <c r="T31" s="1153" t="s">
        <v>1149</v>
      </c>
      <c r="U31" s="1154">
        <f t="shared" si="13"/>
        <v>100</v>
      </c>
      <c r="V31" s="1153" t="s">
        <v>1149</v>
      </c>
      <c r="W31" s="1154">
        <f t="shared" si="14"/>
        <v>100</v>
      </c>
      <c r="X31" s="1155"/>
      <c r="Y31" s="3725"/>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25" t="s">
        <v>1175</v>
      </c>
      <c r="Q32" s="663">
        <f t="shared" si="11"/>
        <v>111</v>
      </c>
      <c r="R32" s="1158" t="s">
        <v>1149</v>
      </c>
      <c r="S32" s="1159">
        <f t="shared" si="12"/>
        <v>100</v>
      </c>
      <c r="T32" s="1158" t="s">
        <v>1149</v>
      </c>
      <c r="U32" s="1159">
        <f t="shared" si="13"/>
        <v>100</v>
      </c>
      <c r="V32" s="1158" t="s">
        <v>1149</v>
      </c>
      <c r="W32" s="1159">
        <f t="shared" si="14"/>
        <v>100</v>
      </c>
      <c r="X32" s="1152"/>
      <c r="Y32" s="3725"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25"/>
      <c r="Q33" s="663">
        <f t="shared" si="11"/>
        <v>111</v>
      </c>
      <c r="R33" s="1158" t="s">
        <v>1149</v>
      </c>
      <c r="S33" s="1159">
        <f t="shared" si="12"/>
        <v>100</v>
      </c>
      <c r="T33" s="1158" t="s">
        <v>1149</v>
      </c>
      <c r="U33" s="1159">
        <f t="shared" si="13"/>
        <v>100</v>
      </c>
      <c r="V33" s="1158" t="s">
        <v>1149</v>
      </c>
      <c r="W33" s="1159">
        <f t="shared" si="14"/>
        <v>100</v>
      </c>
      <c r="X33" s="1152"/>
      <c r="Y33" s="3725"/>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25"/>
      <c r="Q34" s="663">
        <f t="shared" si="11"/>
        <v>111</v>
      </c>
      <c r="R34" s="1158" t="s">
        <v>1149</v>
      </c>
      <c r="S34" s="1159">
        <f t="shared" si="12"/>
        <v>100</v>
      </c>
      <c r="T34" s="1158" t="s">
        <v>1149</v>
      </c>
      <c r="U34" s="1159">
        <f t="shared" si="13"/>
        <v>100</v>
      </c>
      <c r="V34" s="1158" t="s">
        <v>1149</v>
      </c>
      <c r="W34" s="1159">
        <f t="shared" si="14"/>
        <v>100</v>
      </c>
      <c r="X34" s="1152"/>
      <c r="Y34" s="3725"/>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02" t="str">
        <f>A35</f>
        <v>成交单价（元/平方米）</v>
      </c>
      <c r="Q35" s="3702"/>
      <c r="R35" s="3765">
        <f>E35</f>
        <v>0</v>
      </c>
      <c r="S35" s="3765"/>
      <c r="T35" s="3765">
        <f>G35</f>
        <v>0</v>
      </c>
      <c r="U35" s="3765"/>
      <c r="V35" s="3765">
        <f>I35</f>
        <v>0</v>
      </c>
      <c r="W35" s="3765"/>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02" t="str">
        <f>A36</f>
        <v>比较价值（元/平方米）</v>
      </c>
      <c r="Q36" s="3702"/>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17" t="str">
        <f>A37</f>
        <v>估价对象XX用房的比较价值（楼面单价，元/平方米）</v>
      </c>
      <c r="Q37" s="3718"/>
      <c r="R37" s="3796" t="e">
        <f>IF(F1="售价",ROUND(IF(D36="简单平均",AVERAGE(R36:W36),R36*F36+T36*H36+V36*J36),0),ROUND(IF(D36="简单平均",AVERAGE(R36:V36),R36*F36+T36*H36+V36*J36),1))</f>
        <v>#DIV/0!</v>
      </c>
      <c r="S37" s="3796"/>
      <c r="T37" s="3796"/>
      <c r="U37" s="3796"/>
      <c r="V37" s="3796"/>
      <c r="W37" s="3796"/>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4179</v>
      </c>
      <c r="C2" s="1300" t="s">
        <v>1335</v>
      </c>
      <c r="D2" s="1300"/>
      <c r="E2" s="1301"/>
      <c r="F2" s="1302"/>
      <c r="G2" s="1303"/>
      <c r="H2" s="1304"/>
      <c r="I2" s="1304"/>
      <c r="J2" s="1304"/>
      <c r="K2" s="1469"/>
      <c r="L2" s="1304"/>
      <c r="M2" s="1304"/>
    </row>
    <row r="3" spans="1:37" ht="18" customHeight="1">
      <c r="A3" s="1305" t="s">
        <v>1337</v>
      </c>
      <c r="B3" s="1306">
        <f ca="1">IF(ISERROR(B2*10000/F43),0,ROUND(B2*10000/F43,0))</f>
        <v>8474</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41" t="s">
        <v>1347</v>
      </c>
      <c r="C6" s="1319">
        <f ca="1">ROUND(F6*F8*F7*(1-F9)/10000,0)</f>
        <v>324</v>
      </c>
      <c r="D6" s="1320" t="s">
        <v>1749</v>
      </c>
      <c r="E6" s="1321" t="s">
        <v>1349</v>
      </c>
      <c r="F6" s="1322">
        <f ca="1">INDIRECT("'数据-取费表'!u"&amp;$G$1)</f>
        <v>2</v>
      </c>
      <c r="G6" s="760"/>
      <c r="H6" s="1318" t="s">
        <v>932</v>
      </c>
      <c r="I6" s="3741" t="s">
        <v>1347</v>
      </c>
      <c r="J6" s="1397">
        <f ca="1">ROUND(M6*M8*M7*(1-M9)/10000,0)</f>
        <v>0</v>
      </c>
      <c r="K6" s="1320" t="s">
        <v>1750</v>
      </c>
      <c r="L6" s="1321" t="s">
        <v>1349</v>
      </c>
      <c r="M6" s="1322">
        <f ca="1">INDIRECT("'数据-取费表'!z"&amp;$G$1)</f>
        <v>0</v>
      </c>
    </row>
    <row r="7" spans="1:37" ht="18" customHeight="1">
      <c r="A7" s="1323"/>
      <c r="B7" s="3742"/>
      <c r="C7" s="1324"/>
      <c r="D7" s="1325"/>
      <c r="E7" s="1326" t="s">
        <v>1351</v>
      </c>
      <c r="F7" s="1322">
        <f ca="1">IF(INDIRECT("'数据-取费表'!ah"&amp;$G$1)="",INDIRECT("'数据-取费表'!k"&amp;$G$1),INDIRECT("'数据-取费表'!ah"&amp;$G$1))</f>
        <v>4931.279999999997</v>
      </c>
      <c r="G7" s="760"/>
      <c r="H7" s="1327"/>
      <c r="I7" s="3742"/>
      <c r="J7" s="1328"/>
      <c r="K7" s="1325"/>
      <c r="L7" s="1321" t="s">
        <v>1351</v>
      </c>
      <c r="M7" s="1322">
        <f ca="1">F7</f>
        <v>4931.279999999997</v>
      </c>
    </row>
    <row r="8" spans="1:37" ht="18" customHeight="1">
      <c r="A8" s="1327"/>
      <c r="B8" s="3742"/>
      <c r="C8" s="1328"/>
      <c r="D8" s="1325"/>
      <c r="E8" s="1321" t="s">
        <v>1352</v>
      </c>
      <c r="F8" s="1322">
        <f ca="1">INDIRECT("'数据-取费表'!ai"&amp;$G$1)</f>
        <v>365</v>
      </c>
      <c r="G8" s="760"/>
      <c r="H8" s="1327"/>
      <c r="I8" s="3742"/>
      <c r="J8" s="1328"/>
      <c r="K8" s="1325"/>
      <c r="L8" s="1321" t="s">
        <v>1352</v>
      </c>
      <c r="M8" s="1322">
        <f ca="1">INDIRECT("'数据-取费表'!ai"&amp;$G$1)</f>
        <v>365</v>
      </c>
    </row>
    <row r="9" spans="1:37" ht="18" customHeight="1">
      <c r="A9" s="1327"/>
      <c r="B9" s="3743"/>
      <c r="C9" s="1328"/>
      <c r="D9" s="1325"/>
      <c r="E9" s="1321" t="s">
        <v>1353</v>
      </c>
      <c r="F9" s="1329">
        <f ca="1">INDIRECT("'数据-取费表'!w"&amp;$G$1)</f>
        <v>0.1</v>
      </c>
      <c r="G9" s="760"/>
      <c r="H9" s="1327"/>
      <c r="I9" s="3743"/>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3270</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3270</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55</v>
      </c>
      <c r="D20" s="1366" t="s">
        <v>1388</v>
      </c>
      <c r="E20" s="1321" t="s">
        <v>1369</v>
      </c>
      <c r="F20" s="1362">
        <f>'数据-取费表'!B37</f>
        <v>0.02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0.02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16.350000000000001</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96</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6.9999999999999999E-4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5.2400000000000002E-2</v>
      </c>
      <c r="D28" s="1366" t="s">
        <v>1423</v>
      </c>
      <c r="E28" s="1321" t="s">
        <v>1369</v>
      </c>
      <c r="F28" s="1362">
        <f>'数据-取费表'!B41</f>
        <v>5.5E-2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3270</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75</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54.2</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16.97</v>
      </c>
      <c r="D32" s="1379" t="s">
        <v>1382</v>
      </c>
      <c r="E32" s="1321" t="s">
        <v>1369</v>
      </c>
      <c r="F32" s="1370">
        <f>'数据-取费表'!B41</f>
        <v>5.5E-2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16.350000000000001</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3.27</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249</v>
      </c>
      <c r="D39" s="1394" t="s">
        <v>1410</v>
      </c>
      <c r="E39" s="1395"/>
      <c r="F39" s="1396"/>
      <c r="G39" s="760"/>
      <c r="H39" s="1383">
        <f ca="1">C39/C5</f>
        <v>0.76851851851851849</v>
      </c>
      <c r="I39" s="1486"/>
      <c r="J39" s="1487"/>
      <c r="K39" s="1495"/>
      <c r="L39" s="1383"/>
      <c r="M39" s="1383"/>
    </row>
    <row r="40" spans="1:18" ht="18" customHeight="1">
      <c r="A40" s="1312" t="s">
        <v>1414</v>
      </c>
      <c r="B40" s="1313" t="s">
        <v>1431</v>
      </c>
      <c r="C40" s="1397">
        <f ca="1">ROUND(C39*(1-((1+F42)/(1+F40))^F41)/(F40-F42),0)</f>
        <v>4179</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8474</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-4515</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4179</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3270</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380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39" t="s">
        <v>1477</v>
      </c>
      <c r="L53" s="3740"/>
      <c r="O53" s="1510" t="s">
        <v>1295</v>
      </c>
      <c r="P53" s="1511" t="s">
        <v>1478</v>
      </c>
      <c r="Q53" s="1551">
        <f ca="1">Q47+Q48</f>
        <v>4179</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3270</v>
      </c>
      <c r="D56" s="1450"/>
      <c r="E56" s="1451"/>
      <c r="F56" s="1447"/>
      <c r="I56" s="1538" t="s">
        <v>1483</v>
      </c>
      <c r="J56" s="1539" t="s">
        <v>558</v>
      </c>
      <c r="K56" s="1512" t="s">
        <v>1484</v>
      </c>
      <c r="L56" s="1515" t="str">
        <f ca="1">IF(L48&lt;J51,"——",L48-J53)</f>
        <v>——</v>
      </c>
      <c r="O56" s="1510" t="s">
        <v>1040</v>
      </c>
      <c r="P56" s="1511" t="s">
        <v>1446</v>
      </c>
      <c r="Q56" s="1551">
        <f ca="1">C40+J29</f>
        <v>4179</v>
      </c>
      <c r="R56" s="1551" t="s">
        <v>1447</v>
      </c>
    </row>
    <row r="57" spans="1:18" s="760" customFormat="1" ht="24">
      <c r="A57" s="1452"/>
      <c r="B57" s="1453" t="s">
        <v>1425</v>
      </c>
      <c r="C57" s="423">
        <f ca="1">C29</f>
        <v>3270</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5.5E-2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4179</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16.350000000000001</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3.27</v>
      </c>
      <c r="D65" s="1461" t="s">
        <v>1402</v>
      </c>
      <c r="E65" s="1453" t="s">
        <v>1369</v>
      </c>
      <c r="F65" s="1392">
        <f t="shared" ca="1" si="0"/>
        <v>1E-3</v>
      </c>
      <c r="I65" s="1546" t="s">
        <v>1507</v>
      </c>
      <c r="J65" s="1547">
        <v>40</v>
      </c>
      <c r="K65" s="1547">
        <v>30</v>
      </c>
      <c r="L65" s="1547">
        <v>50</v>
      </c>
      <c r="M65" s="1549">
        <v>0.02</v>
      </c>
      <c r="O65" s="1510" t="s">
        <v>1040</v>
      </c>
      <c r="P65" s="1511" t="s">
        <v>1446</v>
      </c>
      <c r="Q65" s="1551">
        <f ca="1">C40+J29</f>
        <v>4179</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380</v>
      </c>
      <c r="R67" s="1551" t="s">
        <v>1508</v>
      </c>
    </row>
    <row r="68" spans="1:18" s="760" customFormat="1" ht="15.75">
      <c r="A68" s="1556" t="s">
        <v>1414</v>
      </c>
      <c r="B68" s="1557" t="s">
        <v>1431</v>
      </c>
      <c r="C68" s="1397">
        <f ca="1">ROUND(C67*(1-((1+F70)/(1+F68))^F69)/(F68-F70),0)</f>
        <v>-336</v>
      </c>
      <c r="D68" s="1463" t="s">
        <v>1416</v>
      </c>
      <c r="E68" s="1453" t="s">
        <v>1417</v>
      </c>
      <c r="F68" s="1329">
        <f ca="1">F40</f>
        <v>5.5E-2</v>
      </c>
      <c r="O68" s="1518" t="s">
        <v>1463</v>
      </c>
      <c r="P68" s="1574" t="s">
        <v>1509</v>
      </c>
      <c r="Q68" s="1551">
        <f ca="1">ROUND(Q69-Q70*Q71,0)</f>
        <v>20</v>
      </c>
      <c r="R68" s="1551" t="s">
        <v>1510</v>
      </c>
    </row>
    <row r="69" spans="1:18" s="760" customFormat="1">
      <c r="A69" s="1558"/>
      <c r="B69" s="1559"/>
      <c r="C69" s="1328"/>
      <c r="D69" s="1560" t="s">
        <v>1420</v>
      </c>
      <c r="E69" s="1453" t="s">
        <v>1421</v>
      </c>
      <c r="F69" s="1401">
        <f ca="1">F41</f>
        <v>47.88</v>
      </c>
      <c r="O69" s="1518" t="s">
        <v>1511</v>
      </c>
      <c r="P69" s="1574" t="s">
        <v>1512</v>
      </c>
      <c r="Q69" s="1551">
        <f ca="1">C39</f>
        <v>249</v>
      </c>
      <c r="R69" s="1551" t="s">
        <v>1447</v>
      </c>
    </row>
    <row r="70" spans="1:18" s="760" customFormat="1">
      <c r="A70" s="1561"/>
      <c r="B70" s="1562"/>
      <c r="C70" s="1349"/>
      <c r="D70" s="1465"/>
      <c r="E70" s="1453" t="s">
        <v>1424</v>
      </c>
      <c r="F70" s="1442"/>
      <c r="O70" s="1518" t="s">
        <v>1513</v>
      </c>
      <c r="P70" s="1574" t="s">
        <v>1514</v>
      </c>
      <c r="Q70" s="1551">
        <f ca="1">C13</f>
        <v>3270</v>
      </c>
      <c r="R70" s="1551" t="s">
        <v>1447</v>
      </c>
    </row>
    <row r="71" spans="1:18" s="760" customFormat="1">
      <c r="A71" s="1563" t="s">
        <v>1426</v>
      </c>
      <c r="B71" s="1564" t="s">
        <v>1432</v>
      </c>
      <c r="C71" s="1405">
        <f ca="1">ROUND(C68*10000/F71,0)</f>
        <v>-681</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229</v>
      </c>
      <c r="D75" s="760"/>
      <c r="E75" s="760"/>
      <c r="F75" s="760"/>
      <c r="K75" s="1496"/>
      <c r="L75" s="760"/>
      <c r="O75" s="1510" t="s">
        <v>1295</v>
      </c>
      <c r="P75" s="1511" t="s">
        <v>1478</v>
      </c>
      <c r="Q75" s="1551">
        <f ca="1">Q65+Q66</f>
        <v>4179</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7.999999999999996E-2</v>
      </c>
    </row>
    <row r="80" spans="1:18">
      <c r="B80" s="1568" t="s">
        <v>1524</v>
      </c>
      <c r="C80" s="456">
        <f ca="1">ROUND(C75/C39,3)</f>
        <v>0.92</v>
      </c>
    </row>
    <row r="81" spans="2:3">
      <c r="B81" s="453" t="s">
        <v>1525</v>
      </c>
      <c r="C81" s="423"/>
    </row>
    <row r="82" spans="2:3">
      <c r="B82" s="455" t="s">
        <v>1121</v>
      </c>
      <c r="C82" s="457">
        <f ca="1">1-C83</f>
        <v>0.21799999999999997</v>
      </c>
    </row>
    <row r="83" spans="2:3">
      <c r="B83" s="455" t="s">
        <v>1122</v>
      </c>
      <c r="C83" s="456">
        <f ca="1">ROUND(C13/C40,3)</f>
        <v>0.78200000000000003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99" t="s">
        <v>1134</v>
      </c>
      <c r="D4" s="3732"/>
      <c r="E4" s="3733" t="s">
        <v>1135</v>
      </c>
      <c r="F4" s="3734"/>
      <c r="G4" s="3699" t="s">
        <v>1136</v>
      </c>
      <c r="H4" s="3732"/>
      <c r="I4" s="3699" t="s">
        <v>1137</v>
      </c>
      <c r="J4" s="3732"/>
      <c r="K4" s="1108" t="s">
        <v>1138</v>
      </c>
      <c r="L4" s="1109"/>
      <c r="M4" s="1110"/>
      <c r="N4" s="1110"/>
      <c r="O4" s="1110"/>
      <c r="P4" s="3703" t="s">
        <v>1139</v>
      </c>
      <c r="Q4" s="3704"/>
      <c r="R4" s="3709" t="s">
        <v>1135</v>
      </c>
      <c r="S4" s="3710"/>
      <c r="T4" s="3709" t="s">
        <v>1136</v>
      </c>
      <c r="U4" s="3710"/>
      <c r="V4" s="3715" t="s">
        <v>1137</v>
      </c>
      <c r="W4" s="3715"/>
      <c r="X4" s="1152"/>
      <c r="Y4" s="3709" t="s">
        <v>1139</v>
      </c>
      <c r="Z4" s="3710"/>
      <c r="AA4" s="3696" t="s">
        <v>1135</v>
      </c>
      <c r="AB4" s="3697" t="s">
        <v>1136</v>
      </c>
      <c r="AC4" s="3696" t="s">
        <v>1137</v>
      </c>
    </row>
    <row r="5" spans="1:29" ht="15">
      <c r="A5" s="963"/>
      <c r="B5" s="964"/>
      <c r="C5" s="3735" t="s">
        <v>1140</v>
      </c>
      <c r="D5" s="3736"/>
      <c r="E5" s="3737" t="s">
        <v>1141</v>
      </c>
      <c r="F5" s="3738"/>
      <c r="G5" s="3735" t="s">
        <v>1142</v>
      </c>
      <c r="H5" s="3736"/>
      <c r="I5" s="3735" t="s">
        <v>1143</v>
      </c>
      <c r="J5" s="3736"/>
      <c r="K5" s="1108"/>
      <c r="L5" s="1109"/>
      <c r="M5" s="1110"/>
      <c r="N5" s="1110"/>
      <c r="O5" s="1110"/>
      <c r="P5" s="3705"/>
      <c r="Q5" s="3706"/>
      <c r="R5" s="3711"/>
      <c r="S5" s="3712"/>
      <c r="T5" s="3711"/>
      <c r="U5" s="3712"/>
      <c r="V5" s="3715"/>
      <c r="W5" s="3715"/>
      <c r="X5" s="1152"/>
      <c r="Y5" s="3711"/>
      <c r="Z5" s="3712"/>
      <c r="AA5" s="3697"/>
      <c r="AB5" s="3697"/>
      <c r="AC5" s="3697"/>
    </row>
    <row r="6" spans="1:29" ht="15">
      <c r="A6" s="965"/>
      <c r="B6" s="966"/>
      <c r="C6" s="3797" t="s">
        <v>1755</v>
      </c>
      <c r="D6" s="3798"/>
      <c r="E6" s="3799" t="s">
        <v>1755</v>
      </c>
      <c r="F6" s="3800"/>
      <c r="G6" s="3797" t="s">
        <v>1755</v>
      </c>
      <c r="H6" s="3798"/>
      <c r="I6" s="3797" t="s">
        <v>1755</v>
      </c>
      <c r="J6" s="3798"/>
      <c r="K6" s="1108" t="s">
        <v>1146</v>
      </c>
      <c r="L6" s="1109"/>
      <c r="M6" s="1110"/>
      <c r="N6" s="1110"/>
      <c r="O6" s="1110"/>
      <c r="P6" s="3707"/>
      <c r="Q6" s="3708"/>
      <c r="R6" s="3711"/>
      <c r="S6" s="3712"/>
      <c r="T6" s="3713"/>
      <c r="U6" s="3714"/>
      <c r="V6" s="3715"/>
      <c r="W6" s="3715"/>
      <c r="X6" s="1152"/>
      <c r="Y6" s="3713"/>
      <c r="Z6" s="3714"/>
      <c r="AA6" s="3698"/>
      <c r="AB6" s="3698"/>
      <c r="AC6" s="3698"/>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20" t="s">
        <v>1148</v>
      </c>
      <c r="Q7" s="3731"/>
      <c r="R7" s="1153" t="s">
        <v>1149</v>
      </c>
      <c r="S7" s="1154">
        <f t="shared" ref="S7:S15" si="0">F7</f>
        <v>0</v>
      </c>
      <c r="T7" s="1153" t="s">
        <v>1149</v>
      </c>
      <c r="U7" s="1154">
        <f t="shared" ref="U7:U15" si="1">H7</f>
        <v>0</v>
      </c>
      <c r="V7" s="1153" t="s">
        <v>1149</v>
      </c>
      <c r="W7" s="1154">
        <f t="shared" ref="W7:W15" si="2">J7</f>
        <v>0</v>
      </c>
      <c r="X7" s="1155"/>
      <c r="Y7" s="3720" t="s">
        <v>1148</v>
      </c>
      <c r="Z7" s="3721"/>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20" t="s">
        <v>1152</v>
      </c>
      <c r="Q8" s="3721"/>
      <c r="R8" s="1153" t="s">
        <v>1149</v>
      </c>
      <c r="S8" s="1154">
        <f t="shared" si="0"/>
        <v>0</v>
      </c>
      <c r="T8" s="1153" t="s">
        <v>1149</v>
      </c>
      <c r="U8" s="1154">
        <f t="shared" si="1"/>
        <v>0</v>
      </c>
      <c r="V8" s="1153" t="s">
        <v>1149</v>
      </c>
      <c r="W8" s="1154">
        <f t="shared" si="2"/>
        <v>0</v>
      </c>
      <c r="X8" s="1155"/>
      <c r="Y8" s="3720" t="s">
        <v>1152</v>
      </c>
      <c r="Z8" s="3721"/>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02" t="s">
        <v>1155</v>
      </c>
      <c r="Q9" s="1157" t="str">
        <f t="shared" ref="Q9:Q15" si="6">B9</f>
        <v>用途</v>
      </c>
      <c r="R9" s="1153" t="s">
        <v>1149</v>
      </c>
      <c r="S9" s="1154">
        <f t="shared" si="0"/>
        <v>100</v>
      </c>
      <c r="T9" s="1153" t="s">
        <v>1149</v>
      </c>
      <c r="U9" s="1154">
        <f t="shared" si="1"/>
        <v>100</v>
      </c>
      <c r="V9" s="1153" t="s">
        <v>1149</v>
      </c>
      <c r="W9" s="1154">
        <f t="shared" si="2"/>
        <v>100</v>
      </c>
      <c r="X9" s="1155"/>
      <c r="Y9" s="3608"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02"/>
      <c r="Q10" s="1157" t="str">
        <f t="shared" si="6"/>
        <v>土地使用年限（年）</v>
      </c>
      <c r="R10" s="1153" t="s">
        <v>1149</v>
      </c>
      <c r="S10" s="1154">
        <f t="shared" si="0"/>
        <v>101</v>
      </c>
      <c r="T10" s="1153" t="s">
        <v>1149</v>
      </c>
      <c r="U10" s="1154">
        <f t="shared" si="1"/>
        <v>101</v>
      </c>
      <c r="V10" s="1153" t="s">
        <v>1149</v>
      </c>
      <c r="W10" s="1154">
        <f t="shared" si="2"/>
        <v>101</v>
      </c>
      <c r="X10" s="1155"/>
      <c r="Y10" s="3608"/>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02"/>
      <c r="Q11" s="1157" t="str">
        <f t="shared" si="6"/>
        <v>容积率</v>
      </c>
      <c r="R11" s="1153" t="s">
        <v>1149</v>
      </c>
      <c r="S11" s="1154" t="e">
        <f t="shared" si="0"/>
        <v>#N/A</v>
      </c>
      <c r="T11" s="1153" t="s">
        <v>1149</v>
      </c>
      <c r="U11" s="1154" t="e">
        <f t="shared" si="1"/>
        <v>#N/A</v>
      </c>
      <c r="V11" s="1153" t="s">
        <v>1149</v>
      </c>
      <c r="W11" s="1154" t="e">
        <f t="shared" si="2"/>
        <v>#N/A</v>
      </c>
      <c r="X11" s="1155"/>
      <c r="Y11" s="3608"/>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02"/>
      <c r="Q12" s="1157">
        <f t="shared" si="6"/>
        <v>111</v>
      </c>
      <c r="R12" s="1153" t="s">
        <v>1149</v>
      </c>
      <c r="S12" s="1154">
        <f t="shared" si="0"/>
        <v>100</v>
      </c>
      <c r="T12" s="1153" t="s">
        <v>1149</v>
      </c>
      <c r="U12" s="1154">
        <f t="shared" si="1"/>
        <v>100</v>
      </c>
      <c r="V12" s="1153" t="s">
        <v>1149</v>
      </c>
      <c r="W12" s="1154">
        <f t="shared" si="2"/>
        <v>100</v>
      </c>
      <c r="X12" s="1155"/>
      <c r="Y12" s="3608"/>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02"/>
      <c r="Q13" s="1157">
        <f t="shared" si="6"/>
        <v>111</v>
      </c>
      <c r="R13" s="1153" t="s">
        <v>1149</v>
      </c>
      <c r="S13" s="1154">
        <f t="shared" si="0"/>
        <v>100</v>
      </c>
      <c r="T13" s="1153" t="s">
        <v>1149</v>
      </c>
      <c r="U13" s="1154">
        <f t="shared" si="1"/>
        <v>100</v>
      </c>
      <c r="V13" s="1153" t="s">
        <v>1149</v>
      </c>
      <c r="W13" s="1154">
        <f t="shared" si="2"/>
        <v>100</v>
      </c>
      <c r="X13" s="1155"/>
      <c r="Y13" s="3608"/>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02"/>
      <c r="Q14" s="1157">
        <f t="shared" si="6"/>
        <v>111</v>
      </c>
      <c r="R14" s="1153" t="s">
        <v>1149</v>
      </c>
      <c r="S14" s="1154">
        <f t="shared" si="0"/>
        <v>100</v>
      </c>
      <c r="T14" s="1153" t="s">
        <v>1149</v>
      </c>
      <c r="U14" s="1154">
        <f t="shared" si="1"/>
        <v>100</v>
      </c>
      <c r="V14" s="1153" t="s">
        <v>1149</v>
      </c>
      <c r="W14" s="1154">
        <f t="shared" si="2"/>
        <v>100</v>
      </c>
      <c r="X14" s="1155"/>
      <c r="Y14" s="3608"/>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22" t="s">
        <v>1162</v>
      </c>
      <c r="Q15" s="663" t="str">
        <f t="shared" si="6"/>
        <v>产业集聚程度</v>
      </c>
      <c r="R15" s="1158" t="s">
        <v>1149</v>
      </c>
      <c r="S15" s="1159">
        <f t="shared" si="0"/>
        <v>100</v>
      </c>
      <c r="T15" s="1158" t="s">
        <v>1149</v>
      </c>
      <c r="U15" s="1159">
        <f t="shared" si="1"/>
        <v>100</v>
      </c>
      <c r="V15" s="1158" t="s">
        <v>1149</v>
      </c>
      <c r="W15" s="1159">
        <f t="shared" si="2"/>
        <v>100</v>
      </c>
      <c r="X15" s="1152"/>
      <c r="Y15" s="3722"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23"/>
      <c r="Q16" s="663"/>
      <c r="R16" s="1158"/>
      <c r="S16" s="1159"/>
      <c r="T16" s="1158"/>
      <c r="U16" s="1159"/>
      <c r="V16" s="1158"/>
      <c r="W16" s="1159"/>
      <c r="X16" s="1152"/>
      <c r="Y16" s="3723"/>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23"/>
      <c r="Q17" s="663" t="str">
        <f>B17</f>
        <v>交通便捷度</v>
      </c>
      <c r="R17" s="1158" t="s">
        <v>1149</v>
      </c>
      <c r="S17" s="1159">
        <f>F17</f>
        <v>100</v>
      </c>
      <c r="T17" s="1158" t="s">
        <v>1149</v>
      </c>
      <c r="U17" s="1159">
        <f>H17</f>
        <v>100</v>
      </c>
      <c r="V17" s="1158" t="s">
        <v>1149</v>
      </c>
      <c r="W17" s="1159">
        <f>J17</f>
        <v>100</v>
      </c>
      <c r="X17" s="1152"/>
      <c r="Y17" s="3723"/>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23"/>
      <c r="Q18" s="663"/>
      <c r="R18" s="1158"/>
      <c r="S18" s="1159"/>
      <c r="T18" s="1158"/>
      <c r="U18" s="1159"/>
      <c r="V18" s="1158"/>
      <c r="W18" s="1159"/>
      <c r="X18" s="1152"/>
      <c r="Y18" s="3723"/>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23"/>
      <c r="Q19" s="663" t="str">
        <f t="shared" ref="Q19:Q34" si="8">B19</f>
        <v>区域土地利用方向</v>
      </c>
      <c r="R19" s="1158" t="s">
        <v>1149</v>
      </c>
      <c r="S19" s="1159">
        <f>F19</f>
        <v>100</v>
      </c>
      <c r="T19" s="1158" t="s">
        <v>1149</v>
      </c>
      <c r="U19" s="1159">
        <f>H19</f>
        <v>100</v>
      </c>
      <c r="V19" s="1158" t="s">
        <v>1149</v>
      </c>
      <c r="W19" s="1159">
        <f>J19</f>
        <v>100</v>
      </c>
      <c r="X19" s="1152"/>
      <c r="Y19" s="3723"/>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23"/>
      <c r="Q20" s="663"/>
      <c r="R20" s="1158"/>
      <c r="S20" s="1159"/>
      <c r="T20" s="1158"/>
      <c r="U20" s="1159"/>
      <c r="V20" s="1158"/>
      <c r="W20" s="1159"/>
      <c r="X20" s="1152"/>
      <c r="Y20" s="3723"/>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23"/>
      <c r="Q21" s="663" t="str">
        <f t="shared" si="8"/>
        <v>环境状况</v>
      </c>
      <c r="R21" s="1158" t="s">
        <v>1149</v>
      </c>
      <c r="S21" s="1159">
        <f>F21</f>
        <v>100</v>
      </c>
      <c r="T21" s="1158" t="s">
        <v>1149</v>
      </c>
      <c r="U21" s="1159">
        <f>H21</f>
        <v>100</v>
      </c>
      <c r="V21" s="1158" t="s">
        <v>1149</v>
      </c>
      <c r="W21" s="1159">
        <f>J21</f>
        <v>100</v>
      </c>
      <c r="X21" s="1152"/>
      <c r="Y21" s="3723"/>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23"/>
      <c r="Q22" s="663"/>
      <c r="R22" s="1158"/>
      <c r="S22" s="1159"/>
      <c r="T22" s="1158"/>
      <c r="U22" s="1159"/>
      <c r="V22" s="1158"/>
      <c r="W22" s="1159"/>
      <c r="X22" s="1152"/>
      <c r="Y22" s="3723"/>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23"/>
      <c r="Q23" s="1157" t="str">
        <f t="shared" si="8"/>
        <v>公共配套设施</v>
      </c>
      <c r="R23" s="1153" t="s">
        <v>1149</v>
      </c>
      <c r="S23" s="1154">
        <f>F23</f>
        <v>100</v>
      </c>
      <c r="T23" s="1153" t="s">
        <v>1149</v>
      </c>
      <c r="U23" s="1154">
        <f>H23</f>
        <v>100</v>
      </c>
      <c r="V23" s="1153" t="s">
        <v>1149</v>
      </c>
      <c r="W23" s="1154">
        <f>J23</f>
        <v>100</v>
      </c>
      <c r="X23" s="1155"/>
      <c r="Y23" s="3723"/>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23"/>
      <c r="Q24" s="1157"/>
      <c r="R24" s="1153"/>
      <c r="S24" s="1154"/>
      <c r="T24" s="1153"/>
      <c r="U24" s="1154"/>
      <c r="V24" s="1153"/>
      <c r="W24" s="1154"/>
      <c r="X24" s="1155"/>
      <c r="Y24" s="3723"/>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23"/>
      <c r="Q25" s="1157" t="str">
        <f t="shared" ref="Q25" si="9">B25</f>
        <v>基础设施水平</v>
      </c>
      <c r="R25" s="1153" t="s">
        <v>1149</v>
      </c>
      <c r="S25" s="1154">
        <f>F25</f>
        <v>100</v>
      </c>
      <c r="T25" s="1153" t="s">
        <v>1149</v>
      </c>
      <c r="U25" s="1154">
        <f>H25</f>
        <v>100</v>
      </c>
      <c r="V25" s="1153" t="s">
        <v>1149</v>
      </c>
      <c r="W25" s="1154">
        <f>J25</f>
        <v>100</v>
      </c>
      <c r="X25" s="1155"/>
      <c r="Y25" s="3723"/>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23"/>
      <c r="Q26" s="1157"/>
      <c r="R26" s="1153"/>
      <c r="S26" s="1154"/>
      <c r="T26" s="1153"/>
      <c r="U26" s="1154"/>
      <c r="V26" s="1153"/>
      <c r="W26" s="1154"/>
      <c r="X26" s="1155"/>
      <c r="Y26" s="3723"/>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23"/>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23"/>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23"/>
      <c r="Q28" s="663" t="str">
        <f t="shared" si="8"/>
        <v>毗邻道路的类型与等级</v>
      </c>
      <c r="R28" s="1158" t="s">
        <v>1149</v>
      </c>
      <c r="S28" s="1159">
        <f t="shared" si="10"/>
        <v>100</v>
      </c>
      <c r="T28" s="1158" t="s">
        <v>1149</v>
      </c>
      <c r="U28" s="1159">
        <f t="shared" si="11"/>
        <v>100</v>
      </c>
      <c r="V28" s="1158" t="s">
        <v>1149</v>
      </c>
      <c r="W28" s="1159">
        <f t="shared" si="12"/>
        <v>100</v>
      </c>
      <c r="X28" s="1152"/>
      <c r="Y28" s="3723"/>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23"/>
      <c r="Q29" s="663"/>
      <c r="R29" s="1158"/>
      <c r="S29" s="1159"/>
      <c r="T29" s="1158"/>
      <c r="U29" s="1159"/>
      <c r="V29" s="1158"/>
      <c r="W29" s="1159"/>
      <c r="X29" s="1152"/>
      <c r="Y29" s="3723"/>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23"/>
      <c r="Q30" s="663" t="str">
        <f t="shared" si="8"/>
        <v>土地级别</v>
      </c>
      <c r="R30" s="1158" t="s">
        <v>1149</v>
      </c>
      <c r="S30" s="1159">
        <f t="shared" si="10"/>
        <v>100</v>
      </c>
      <c r="T30" s="1158" t="s">
        <v>1149</v>
      </c>
      <c r="U30" s="1159">
        <f t="shared" si="11"/>
        <v>100</v>
      </c>
      <c r="V30" s="1158" t="s">
        <v>1149</v>
      </c>
      <c r="W30" s="1159">
        <f t="shared" si="12"/>
        <v>100</v>
      </c>
      <c r="X30" s="1152"/>
      <c r="Y30" s="3723"/>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23"/>
      <c r="Q31" s="663">
        <f t="shared" si="8"/>
        <v>111</v>
      </c>
      <c r="R31" s="1158" t="s">
        <v>1149</v>
      </c>
      <c r="S31" s="1159">
        <f t="shared" si="10"/>
        <v>100</v>
      </c>
      <c r="T31" s="1158" t="s">
        <v>1149</v>
      </c>
      <c r="U31" s="1159">
        <f t="shared" si="11"/>
        <v>100</v>
      </c>
      <c r="V31" s="1158" t="s">
        <v>1149</v>
      </c>
      <c r="W31" s="1159">
        <f t="shared" si="12"/>
        <v>100</v>
      </c>
      <c r="X31" s="1152"/>
      <c r="Y31" s="3723"/>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24" t="s">
        <v>1175</v>
      </c>
      <c r="Q32" s="663">
        <f t="shared" si="8"/>
        <v>111</v>
      </c>
      <c r="R32" s="1158" t="s">
        <v>1149</v>
      </c>
      <c r="S32" s="1159">
        <f t="shared" si="10"/>
        <v>100</v>
      </c>
      <c r="T32" s="1158" t="s">
        <v>1149</v>
      </c>
      <c r="U32" s="1159">
        <f t="shared" si="11"/>
        <v>100</v>
      </c>
      <c r="V32" s="1158" t="s">
        <v>1149</v>
      </c>
      <c r="W32" s="1159">
        <f t="shared" si="12"/>
        <v>100</v>
      </c>
      <c r="X32" s="1152"/>
      <c r="Y32" s="3725"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25"/>
      <c r="Q33" s="663">
        <f t="shared" si="8"/>
        <v>111</v>
      </c>
      <c r="R33" s="1160" t="s">
        <v>1149</v>
      </c>
      <c r="S33" s="1161">
        <f t="shared" si="10"/>
        <v>100</v>
      </c>
      <c r="T33" s="1160" t="s">
        <v>1149</v>
      </c>
      <c r="U33" s="1161">
        <f t="shared" si="11"/>
        <v>100</v>
      </c>
      <c r="V33" s="1160" t="s">
        <v>1149</v>
      </c>
      <c r="W33" s="1161">
        <f t="shared" si="12"/>
        <v>100</v>
      </c>
      <c r="X33" s="1162"/>
      <c r="Y33" s="3725"/>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25"/>
      <c r="Q34" s="663" t="str">
        <f t="shared" si="8"/>
        <v>宗地面积</v>
      </c>
      <c r="R34" s="1158" t="s">
        <v>1149</v>
      </c>
      <c r="S34" s="1159" t="e">
        <f t="shared" si="10"/>
        <v>#N/A</v>
      </c>
      <c r="T34" s="1158" t="s">
        <v>1149</v>
      </c>
      <c r="U34" s="1159" t="e">
        <f t="shared" si="11"/>
        <v>#N/A</v>
      </c>
      <c r="V34" s="1158" t="s">
        <v>1149</v>
      </c>
      <c r="W34" s="1159" t="e">
        <f t="shared" si="12"/>
        <v>#N/A</v>
      </c>
      <c r="X34" s="1152"/>
      <c r="Y34" s="3725"/>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25"/>
      <c r="Q35" s="663" t="str">
        <f t="shared" ref="Q35:Q40" si="14">B35</f>
        <v>宗地形状</v>
      </c>
      <c r="R35" s="1158" t="s">
        <v>1149</v>
      </c>
      <c r="S35" s="1159">
        <f t="shared" si="10"/>
        <v>100</v>
      </c>
      <c r="T35" s="1158" t="s">
        <v>1149</v>
      </c>
      <c r="U35" s="1159">
        <f t="shared" si="11"/>
        <v>100</v>
      </c>
      <c r="V35" s="1158" t="s">
        <v>1149</v>
      </c>
      <c r="W35" s="1159">
        <f t="shared" si="12"/>
        <v>100</v>
      </c>
      <c r="X35" s="1152"/>
      <c r="Y35" s="3725"/>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25"/>
      <c r="Q36" s="663" t="str">
        <f t="shared" si="14"/>
        <v>宗地开发程度</v>
      </c>
      <c r="R36" s="1153" t="s">
        <v>1149</v>
      </c>
      <c r="S36" s="1154">
        <f t="shared" si="10"/>
        <v>100</v>
      </c>
      <c r="T36" s="1153" t="s">
        <v>1149</v>
      </c>
      <c r="U36" s="1154">
        <f t="shared" si="11"/>
        <v>100</v>
      </c>
      <c r="V36" s="1153" t="s">
        <v>1149</v>
      </c>
      <c r="W36" s="1154">
        <f t="shared" si="12"/>
        <v>100</v>
      </c>
      <c r="X36" s="1155"/>
      <c r="Y36" s="3725"/>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25" t="s">
        <v>1175</v>
      </c>
      <c r="Q37" s="663" t="str">
        <f t="shared" si="14"/>
        <v>工程地质条件</v>
      </c>
      <c r="R37" s="1158" t="s">
        <v>1149</v>
      </c>
      <c r="S37" s="1159">
        <f t="shared" si="10"/>
        <v>100</v>
      </c>
      <c r="T37" s="1158" t="s">
        <v>1149</v>
      </c>
      <c r="U37" s="1159">
        <f t="shared" si="11"/>
        <v>100</v>
      </c>
      <c r="V37" s="1158" t="s">
        <v>1149</v>
      </c>
      <c r="W37" s="1159">
        <f t="shared" si="12"/>
        <v>100</v>
      </c>
      <c r="X37" s="1152"/>
      <c r="Y37" s="3725"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25"/>
      <c r="Q38" s="663">
        <f t="shared" si="14"/>
        <v>111</v>
      </c>
      <c r="R38" s="1158" t="s">
        <v>1149</v>
      </c>
      <c r="S38" s="1159">
        <f t="shared" si="10"/>
        <v>100</v>
      </c>
      <c r="T38" s="1158" t="s">
        <v>1149</v>
      </c>
      <c r="U38" s="1159">
        <f t="shared" si="11"/>
        <v>100</v>
      </c>
      <c r="V38" s="1158" t="s">
        <v>1149</v>
      </c>
      <c r="W38" s="1159">
        <f t="shared" si="12"/>
        <v>100</v>
      </c>
      <c r="X38" s="1152"/>
      <c r="Y38" s="3725"/>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25"/>
      <c r="Q39" s="663">
        <f t="shared" si="14"/>
        <v>111</v>
      </c>
      <c r="R39" s="1158" t="s">
        <v>1149</v>
      </c>
      <c r="S39" s="1159">
        <f t="shared" si="10"/>
        <v>100</v>
      </c>
      <c r="T39" s="1158" t="s">
        <v>1149</v>
      </c>
      <c r="U39" s="1159">
        <f t="shared" si="11"/>
        <v>100</v>
      </c>
      <c r="V39" s="1158" t="s">
        <v>1149</v>
      </c>
      <c r="W39" s="1159">
        <f t="shared" si="12"/>
        <v>100</v>
      </c>
      <c r="X39" s="1152"/>
      <c r="Y39" s="3725"/>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25"/>
      <c r="Q40" s="663">
        <f t="shared" si="14"/>
        <v>111</v>
      </c>
      <c r="R40" s="1160" t="s">
        <v>1149</v>
      </c>
      <c r="S40" s="1161">
        <f t="shared" si="10"/>
        <v>100</v>
      </c>
      <c r="T40" s="1160" t="s">
        <v>1149</v>
      </c>
      <c r="U40" s="1161">
        <f t="shared" si="11"/>
        <v>100</v>
      </c>
      <c r="V40" s="1160" t="s">
        <v>1149</v>
      </c>
      <c r="W40" s="1161">
        <f t="shared" si="12"/>
        <v>100</v>
      </c>
      <c r="X40" s="1162"/>
      <c r="Y40" s="3725"/>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02" t="str">
        <f>A41</f>
        <v>成交单价</v>
      </c>
      <c r="Q41" s="3702"/>
      <c r="R41" s="3715">
        <f>E41</f>
        <v>0</v>
      </c>
      <c r="S41" s="3715"/>
      <c r="T41" s="3715">
        <f>G41</f>
        <v>0</v>
      </c>
      <c r="U41" s="3715"/>
      <c r="V41" s="3715">
        <f>I41</f>
        <v>0</v>
      </c>
      <c r="W41" s="3715"/>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02" t="str">
        <f>A42</f>
        <v>比较价值（元/平方米）</v>
      </c>
      <c r="Q42" s="3702"/>
      <c r="R42" s="3716" t="e">
        <f>ROUND(PRODUCT(R41,AA7:AA40),0)</f>
        <v>#DIV/0!</v>
      </c>
      <c r="S42" s="3716"/>
      <c r="T42" s="3716" t="e">
        <f>ROUND(PRODUCT(T41,AB7:AB40),0)</f>
        <v>#DIV/0!</v>
      </c>
      <c r="U42" s="3716"/>
      <c r="V42" s="3716" t="e">
        <f>ROUND(PRODUCT(V41,AC7:AC40),0)</f>
        <v>#DIV/0!</v>
      </c>
      <c r="W42" s="3716"/>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17" t="str">
        <f>A43</f>
        <v>估价对象XX用房的比较价值（楼面单价，元/平方米）</v>
      </c>
      <c r="Q43" s="3718"/>
      <c r="R43" s="3719" t="e">
        <f>ROUND(IF(D42="简单平均",AVERAGE(R42:W42),R42*F42+T42*H42+V42*J42),0)</f>
        <v>#DIV/0!</v>
      </c>
      <c r="S43" s="3719"/>
      <c r="T43" s="3719"/>
      <c r="U43" s="3719"/>
      <c r="V43" s="3719"/>
      <c r="W43" s="3719"/>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699" t="s">
        <v>1198</v>
      </c>
      <c r="H50" s="3700"/>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15813.740000000045</v>
      </c>
      <c r="F51" s="1077" t="e">
        <f t="shared" ref="F51:F60" si="15">ROUND(B51*E51/10000,0)</f>
        <v>#DIV/0!</v>
      </c>
      <c r="G51" s="3701"/>
      <c r="H51" s="3702"/>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7912.64</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8.75">
      <c r="A4" s="3392"/>
      <c r="B4" s="3511" t="s">
        <v>95</v>
      </c>
      <c r="C4" s="3511"/>
      <c r="D4" s="3511"/>
      <c r="E4" s="3392"/>
    </row>
    <row r="5" spans="1:5" ht="15.75">
      <c r="A5" s="3391"/>
      <c r="B5" s="3503" t="s">
        <v>96</v>
      </c>
      <c r="C5" s="3393" t="s">
        <v>97</v>
      </c>
      <c r="D5" s="3394">
        <f ca="1">结果表!H101</f>
        <v>108555</v>
      </c>
      <c r="E5" s="3391"/>
    </row>
    <row r="6" spans="1:5" ht="15.75">
      <c r="A6" s="3391"/>
      <c r="B6" s="3503"/>
      <c r="C6" s="3393" t="s">
        <v>98</v>
      </c>
      <c r="D6" s="3394" t="str">
        <f ca="1">NUMBERSTRING(INT(D5*10000),2)&amp;"元整"</f>
        <v>壹拾亿捌仟伍佰伍拾伍万元整</v>
      </c>
      <c r="E6" s="3391"/>
    </row>
    <row r="7" spans="1:5" ht="15.75">
      <c r="A7" s="3391"/>
      <c r="B7" s="3504"/>
      <c r="C7" s="3395" t="s">
        <v>99</v>
      </c>
      <c r="D7" s="3396">
        <f ca="1">结果表!H102</f>
        <v>36786</v>
      </c>
      <c r="E7" s="3391"/>
    </row>
    <row r="8" spans="1:5" ht="15.75">
      <c r="A8" s="3391"/>
      <c r="B8" s="3505" t="str">
        <f>结果表!E103</f>
        <v>2.估价师知悉的法定优先受偿款</v>
      </c>
      <c r="C8" s="3397" t="s">
        <v>100</v>
      </c>
      <c r="D8" s="3396">
        <f>结果表!H103</f>
        <v>0</v>
      </c>
      <c r="E8" s="3391"/>
    </row>
    <row r="9" spans="1:5" ht="15.75">
      <c r="A9" s="3391"/>
      <c r="B9" s="3507"/>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502" t="str">
        <f>结果表!E107</f>
        <v>3.房地产抵押价值</v>
      </c>
      <c r="C13" s="3401" t="s">
        <v>97</v>
      </c>
      <c r="D13" s="3402">
        <f ca="1">结果表!H107</f>
        <v>108555</v>
      </c>
      <c r="E13" s="3391"/>
    </row>
    <row r="14" spans="1:5" ht="15.75">
      <c r="A14" s="3391"/>
      <c r="B14" s="3503"/>
      <c r="C14" s="3393" t="s">
        <v>98</v>
      </c>
      <c r="D14" s="3394" t="str">
        <f ca="1">NUMBERSTRING(INT(D13*10000),2)&amp;"元整"</f>
        <v>壹拾亿捌仟伍佰伍拾伍万元整</v>
      </c>
      <c r="E14" s="3391"/>
    </row>
    <row r="15" spans="1:5" ht="15">
      <c r="A15" s="3391"/>
      <c r="B15" s="3504"/>
      <c r="C15" s="3395" t="s">
        <v>99</v>
      </c>
      <c r="D15" s="3403">
        <f ca="1">结果表!H108</f>
        <v>36786</v>
      </c>
      <c r="E15" s="3391"/>
    </row>
    <row r="16" spans="1:5" ht="15">
      <c r="A16" s="3391"/>
      <c r="B16" s="3505" t="str">
        <f>结果表!E109</f>
        <v>——</v>
      </c>
      <c r="C16" s="3401" t="s">
        <v>97</v>
      </c>
      <c r="D16" s="3404" t="str">
        <f>结果表!H109</f>
        <v>——</v>
      </c>
      <c r="E16" s="3391"/>
    </row>
    <row r="17" spans="1:5" ht="15.75">
      <c r="A17" s="3391"/>
      <c r="B17" s="3506"/>
      <c r="C17" s="3393" t="s">
        <v>98</v>
      </c>
      <c r="D17" s="3394" t="e">
        <f>NUMBERSTRING(INT(D16*10000),2)&amp;"元整"</f>
        <v>#VALUE!</v>
      </c>
      <c r="E17" s="3391"/>
    </row>
    <row r="18" spans="1:5" ht="15">
      <c r="A18" s="3391"/>
      <c r="B18" s="3507"/>
      <c r="C18" s="3395" t="s">
        <v>99</v>
      </c>
      <c r="D18" s="3403" t="str">
        <f>结果表!H110</f>
        <v>——</v>
      </c>
      <c r="E18" s="3391"/>
    </row>
    <row r="19" spans="1:5" ht="15.75">
      <c r="A19" s="3391"/>
      <c r="B19" s="3502" t="str">
        <f>结果表!E111</f>
        <v>——</v>
      </c>
      <c r="C19" s="3401" t="s">
        <v>97</v>
      </c>
      <c r="D19" s="3396" t="str">
        <f>结果表!H111</f>
        <v>——</v>
      </c>
      <c r="E19" s="3391"/>
    </row>
    <row r="20" spans="1:5" ht="15.75">
      <c r="A20" s="3391"/>
      <c r="B20" s="3503"/>
      <c r="C20" s="3393" t="s">
        <v>98</v>
      </c>
      <c r="D20" s="3394" t="e">
        <f>NUMBERSTRING(INT(D19*10000),2)&amp;"元整"</f>
        <v>#VALUE!</v>
      </c>
      <c r="E20" s="3391"/>
    </row>
    <row r="21" spans="1:5" ht="15">
      <c r="A21" s="3391"/>
      <c r="B21" s="3508"/>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2</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801"/>
      <c r="B4" s="3802"/>
      <c r="C4" s="3802"/>
      <c r="D4" s="3803"/>
      <c r="E4" s="3803"/>
      <c r="F4" s="3803"/>
      <c r="G4" s="3803"/>
      <c r="H4" s="3803"/>
      <c r="I4" s="3803"/>
      <c r="J4" s="3804"/>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2</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05" t="s">
        <v>1802</v>
      </c>
      <c r="X8" s="3806"/>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19"/>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1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11" t="s">
        <v>1851</v>
      </c>
      <c r="B20" s="627" t="s">
        <v>1852</v>
      </c>
      <c r="C20" s="628">
        <f>ROUND(IF(F21="与级别开发程度一致",0,(G21-E21)/C21),0)</f>
        <v>-20</v>
      </c>
      <c r="D20" s="629" t="s">
        <v>1853</v>
      </c>
      <c r="E20" s="630"/>
      <c r="F20" s="3807" t="s">
        <v>1854</v>
      </c>
      <c r="G20" s="3808"/>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12"/>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1.0528</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1.0528</v>
      </c>
      <c r="E26" s="553">
        <f>ROUNDDOWN(G3,1)</f>
        <v>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13"/>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14"/>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14"/>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09" t="s">
        <v>1953</v>
      </c>
      <c r="B103" s="3809"/>
      <c r="C103" s="3809"/>
      <c r="D103" s="3809"/>
      <c r="E103" s="3809"/>
      <c r="F103" s="3809"/>
      <c r="G103" s="3809"/>
      <c r="H103" s="3809"/>
      <c r="I103" s="3809"/>
      <c r="J103" s="3809"/>
      <c r="K103" s="898"/>
      <c r="L103" s="898"/>
      <c r="M103" s="898"/>
      <c r="N103" s="898"/>
    </row>
    <row r="104" spans="1:14">
      <c r="A104" s="3815" t="s">
        <v>1954</v>
      </c>
      <c r="B104" s="3815" t="s">
        <v>1955</v>
      </c>
      <c r="C104" s="900" t="s">
        <v>1956</v>
      </c>
      <c r="D104" s="901"/>
      <c r="E104" s="901"/>
      <c r="F104" s="901"/>
      <c r="G104" s="901"/>
      <c r="H104" s="901"/>
      <c r="I104" s="901"/>
      <c r="J104" s="921"/>
      <c r="K104" s="922"/>
      <c r="L104" s="922"/>
      <c r="M104" s="922"/>
      <c r="N104" s="922"/>
    </row>
    <row r="105" spans="1:14">
      <c r="A105" s="3815"/>
      <c r="B105" s="3815"/>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16"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1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1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1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1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17"/>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1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10" t="s">
        <v>1958</v>
      </c>
      <c r="B113" s="3810"/>
      <c r="C113" s="3810"/>
      <c r="D113" s="3810"/>
      <c r="E113" s="3810"/>
      <c r="F113" s="3810"/>
      <c r="G113" s="3810"/>
      <c r="H113" s="3810"/>
      <c r="I113" s="3810"/>
      <c r="J113" s="381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2</v>
      </c>
      <c r="C116" s="907" t="s">
        <v>1960</v>
      </c>
      <c r="D116" s="908">
        <f>SUMPRODUCT((A118:A122=F116)*(B117:M117=H116)*B118:M122)</f>
        <v>0.90800000000000003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0.9748</v>
      </c>
      <c r="C118" s="887">
        <f>B118</f>
        <v>0.9748</v>
      </c>
      <c r="D118" s="887">
        <f>ROUND(0.949-0.014*B116,4)</f>
        <v>0.92100000000000004</v>
      </c>
      <c r="E118" s="887">
        <f>D118</f>
        <v>0.92100000000000004</v>
      </c>
      <c r="F118" s="887">
        <f>E118</f>
        <v>0.92100000000000004</v>
      </c>
      <c r="G118" s="887">
        <f>F118</f>
        <v>0.92100000000000004</v>
      </c>
      <c r="H118" s="887">
        <f>G118</f>
        <v>0.92100000000000004</v>
      </c>
      <c r="I118" s="887">
        <f>ROUND(0.8486-0.018*B116,4)</f>
        <v>0.81259999999999999</v>
      </c>
      <c r="J118" s="887">
        <f t="shared" ref="J118:M122" si="35">I118</f>
        <v>0.81259999999999999</v>
      </c>
      <c r="K118" s="887">
        <f t="shared" si="35"/>
        <v>0.81259999999999999</v>
      </c>
      <c r="L118" s="887">
        <f t="shared" si="35"/>
        <v>0.81259999999999999</v>
      </c>
      <c r="M118" s="926">
        <f t="shared" si="35"/>
        <v>0.81259999999999999</v>
      </c>
      <c r="N118" s="904"/>
    </row>
    <row r="119" spans="1:14">
      <c r="A119" s="914" t="s">
        <v>1892</v>
      </c>
      <c r="B119" s="887">
        <f>ROUND(0.993-0.0112*B116,4)</f>
        <v>0.97060000000000002</v>
      </c>
      <c r="C119" s="887">
        <f>B119</f>
        <v>0.97060000000000002</v>
      </c>
      <c r="D119" s="887">
        <f>ROUND(0.9415-0.0142*B116,4)</f>
        <v>0.91310000000000002</v>
      </c>
      <c r="E119" s="887">
        <f t="shared" ref="E119:H120" si="36">D119</f>
        <v>0.91310000000000002</v>
      </c>
      <c r="F119" s="887">
        <f t="shared" si="36"/>
        <v>0.91310000000000002</v>
      </c>
      <c r="G119" s="887">
        <f t="shared" si="36"/>
        <v>0.91310000000000002</v>
      </c>
      <c r="H119" s="887">
        <f t="shared" si="36"/>
        <v>0.91310000000000002</v>
      </c>
      <c r="I119" s="887">
        <f>ROUND(0.838-0.0182*B116,4)</f>
        <v>0.80159999999999998</v>
      </c>
      <c r="J119" s="887">
        <f t="shared" si="35"/>
        <v>0.80159999999999998</v>
      </c>
      <c r="K119" s="887">
        <f t="shared" si="35"/>
        <v>0.80159999999999998</v>
      </c>
      <c r="L119" s="887">
        <f t="shared" si="35"/>
        <v>0.80159999999999998</v>
      </c>
      <c r="M119" s="926">
        <f t="shared" si="35"/>
        <v>0.80159999999999998</v>
      </c>
      <c r="N119" s="904"/>
    </row>
    <row r="120" spans="1:14">
      <c r="A120" s="914" t="s">
        <v>1893</v>
      </c>
      <c r="B120" s="887">
        <f>ROUND(0.9448-0.0115*B116,4)</f>
        <v>0.92179999999999995</v>
      </c>
      <c r="C120" s="887">
        <f>B120</f>
        <v>0.92179999999999995</v>
      </c>
      <c r="D120" s="887">
        <f>ROUND(0.937-0.0145*B116,4)</f>
        <v>0.90800000000000003</v>
      </c>
      <c r="E120" s="887">
        <f t="shared" si="36"/>
        <v>0.90800000000000003</v>
      </c>
      <c r="F120" s="887">
        <f t="shared" si="36"/>
        <v>0.90800000000000003</v>
      </c>
      <c r="G120" s="887">
        <f t="shared" si="36"/>
        <v>0.90800000000000003</v>
      </c>
      <c r="H120" s="887">
        <f t="shared" si="36"/>
        <v>0.90800000000000003</v>
      </c>
      <c r="I120" s="887">
        <f>ROUND(0.7965-0.0185*B116,4)</f>
        <v>0.75949999999999995</v>
      </c>
      <c r="J120" s="887">
        <f t="shared" si="35"/>
        <v>0.75949999999999995</v>
      </c>
      <c r="K120" s="887">
        <f t="shared" si="35"/>
        <v>0.75949999999999995</v>
      </c>
      <c r="L120" s="887">
        <f t="shared" si="35"/>
        <v>0.75949999999999995</v>
      </c>
      <c r="M120" s="926">
        <f t="shared" si="35"/>
        <v>0.75949999999999995</v>
      </c>
      <c r="N120" s="904"/>
    </row>
    <row r="121" spans="1:14">
      <c r="A121" s="915" t="s">
        <v>1894</v>
      </c>
      <c r="B121" s="916">
        <f>ROUND(0.7836-0.012*B116,4)</f>
        <v>0.75960000000000005</v>
      </c>
      <c r="C121" s="916">
        <f>B121</f>
        <v>0.75960000000000005</v>
      </c>
      <c r="D121" s="916">
        <f>ROUND(0.753-0.015*B116,4)</f>
        <v>0.72299999999999998</v>
      </c>
      <c r="E121" s="916">
        <f>D121</f>
        <v>0.72299999999999998</v>
      </c>
      <c r="F121" s="916">
        <f>E121</f>
        <v>0.72299999999999998</v>
      </c>
      <c r="G121" s="916">
        <f>ROUND(0.6612-0.018*B116,4)</f>
        <v>0.62519999999999998</v>
      </c>
      <c r="H121" s="916">
        <f>G121</f>
        <v>0.62519999999999998</v>
      </c>
      <c r="I121" s="916">
        <f>ROUND(0.5905-0.019*B116,4)</f>
        <v>0.55249999999999999</v>
      </c>
      <c r="J121" s="916">
        <f t="shared" si="35"/>
        <v>0.55249999999999999</v>
      </c>
      <c r="K121" s="916">
        <f t="shared" si="35"/>
        <v>0.55249999999999999</v>
      </c>
      <c r="L121" s="916">
        <f t="shared" si="35"/>
        <v>0.55249999999999999</v>
      </c>
      <c r="M121" s="927">
        <f t="shared" si="35"/>
        <v>0.55249999999999999</v>
      </c>
      <c r="N121" s="904"/>
    </row>
    <row r="122" spans="1:14">
      <c r="A122" s="917" t="s">
        <v>280</v>
      </c>
      <c r="B122" s="887">
        <f>ROUND(0.9404-0.0106*B116,4)</f>
        <v>0.91920000000000002</v>
      </c>
      <c r="C122" s="887">
        <f>B122</f>
        <v>0.91920000000000002</v>
      </c>
      <c r="D122" s="887">
        <f>ROUND(0.8955-0.0135*B116,4)</f>
        <v>0.86850000000000005</v>
      </c>
      <c r="E122" s="887">
        <f t="shared" ref="E122:H122" si="37">D122</f>
        <v>0.86850000000000005</v>
      </c>
      <c r="F122" s="887">
        <f t="shared" si="37"/>
        <v>0.86850000000000005</v>
      </c>
      <c r="G122" s="887">
        <f t="shared" si="37"/>
        <v>0.86850000000000005</v>
      </c>
      <c r="H122" s="887">
        <f t="shared" si="37"/>
        <v>0.86850000000000005</v>
      </c>
      <c r="I122" s="887">
        <f>ROUND(0.7632-0.0166*B116,4)</f>
        <v>0.73</v>
      </c>
      <c r="J122" s="887">
        <f t="shared" si="35"/>
        <v>0.73</v>
      </c>
      <c r="K122" s="887">
        <f t="shared" si="35"/>
        <v>0.73</v>
      </c>
      <c r="L122" s="887">
        <f t="shared" si="35"/>
        <v>0.73</v>
      </c>
      <c r="M122" s="926">
        <f t="shared" si="35"/>
        <v>0.73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24" t="s">
        <v>1973</v>
      </c>
      <c r="B20" s="3830" t="s">
        <v>1982</v>
      </c>
      <c r="C20" s="503" t="s">
        <v>1983</v>
      </c>
      <c r="D20" s="504"/>
      <c r="E20" s="505">
        <v>1</v>
      </c>
      <c r="F20" s="506" t="s">
        <v>1984</v>
      </c>
      <c r="G20" s="506"/>
    </row>
    <row r="21" spans="1:13" ht="19.5" customHeight="1">
      <c r="A21" s="3825"/>
      <c r="B21" s="3823"/>
      <c r="C21" s="507" t="s">
        <v>1985</v>
      </c>
      <c r="D21" s="508"/>
      <c r="E21" s="509">
        <v>1</v>
      </c>
      <c r="F21" s="506" t="s">
        <v>1986</v>
      </c>
      <c r="G21" s="506"/>
    </row>
    <row r="22" spans="1:13" ht="19.5" customHeight="1">
      <c r="A22" s="3825"/>
      <c r="B22" s="3823"/>
      <c r="C22" s="507" t="s">
        <v>1987</v>
      </c>
      <c r="D22" s="508"/>
      <c r="E22" s="509">
        <v>0.9</v>
      </c>
      <c r="F22" s="506" t="s">
        <v>1988</v>
      </c>
      <c r="G22" s="506"/>
    </row>
    <row r="23" spans="1:13" ht="19.5" customHeight="1">
      <c r="A23" s="3825"/>
      <c r="B23" s="3823"/>
      <c r="C23" s="507" t="s">
        <v>1989</v>
      </c>
      <c r="D23" s="508"/>
      <c r="E23" s="509">
        <v>0.9</v>
      </c>
      <c r="F23" s="506" t="s">
        <v>1990</v>
      </c>
      <c r="G23" s="506"/>
    </row>
    <row r="24" spans="1:13" ht="19.5" customHeight="1">
      <c r="A24" s="3825"/>
      <c r="B24" s="3823"/>
      <c r="C24" s="507" t="s">
        <v>1991</v>
      </c>
      <c r="D24" s="508"/>
      <c r="E24" s="509">
        <v>0.8</v>
      </c>
      <c r="F24" s="506" t="s">
        <v>1992</v>
      </c>
      <c r="G24" s="506"/>
    </row>
    <row r="25" spans="1:13" ht="19.5" customHeight="1">
      <c r="A25" s="3826"/>
      <c r="B25" s="3831"/>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27" t="s">
        <v>280</v>
      </c>
      <c r="B27" s="3830" t="s">
        <v>280</v>
      </c>
      <c r="C27" s="503" t="s">
        <v>1997</v>
      </c>
      <c r="D27" s="504"/>
      <c r="E27" s="505">
        <v>1</v>
      </c>
      <c r="F27" s="506" t="s">
        <v>1998</v>
      </c>
      <c r="G27" s="506"/>
    </row>
    <row r="28" spans="1:13" ht="19.5" customHeight="1">
      <c r="A28" s="3828"/>
      <c r="B28" s="3823"/>
      <c r="C28" s="507" t="s">
        <v>1999</v>
      </c>
      <c r="D28" s="508"/>
      <c r="E28" s="509">
        <v>1</v>
      </c>
      <c r="F28" s="506" t="s">
        <v>2000</v>
      </c>
      <c r="G28" s="506"/>
    </row>
    <row r="29" spans="1:13" ht="19.5" customHeight="1">
      <c r="A29" s="3828"/>
      <c r="B29" s="3823"/>
      <c r="C29" s="507" t="s">
        <v>2001</v>
      </c>
      <c r="D29" s="508"/>
      <c r="E29" s="509">
        <v>0.8</v>
      </c>
      <c r="F29" s="506" t="s">
        <v>2002</v>
      </c>
      <c r="G29" s="506"/>
    </row>
    <row r="30" spans="1:13" ht="19.5" customHeight="1">
      <c r="A30" s="3828"/>
      <c r="B30" s="3823"/>
      <c r="C30" s="507" t="s">
        <v>2003</v>
      </c>
      <c r="D30" s="508"/>
      <c r="E30" s="509">
        <v>0.8</v>
      </c>
      <c r="F30" s="506" t="s">
        <v>2004</v>
      </c>
      <c r="G30" s="506"/>
    </row>
    <row r="31" spans="1:13" ht="19.5" customHeight="1">
      <c r="A31" s="3828"/>
      <c r="B31" s="3823"/>
      <c r="C31" s="507" t="s">
        <v>2005</v>
      </c>
      <c r="D31" s="508"/>
      <c r="E31" s="509">
        <v>0.8</v>
      </c>
      <c r="F31" s="506" t="s">
        <v>2006</v>
      </c>
      <c r="G31" s="506"/>
    </row>
    <row r="32" spans="1:13" ht="19.5" customHeight="1">
      <c r="A32" s="3828"/>
      <c r="B32" s="3823"/>
      <c r="C32" s="507" t="s">
        <v>2007</v>
      </c>
      <c r="D32" s="508"/>
      <c r="E32" s="509">
        <v>0.7</v>
      </c>
      <c r="F32" s="506" t="s">
        <v>2008</v>
      </c>
      <c r="G32" s="506"/>
    </row>
    <row r="33" spans="1:7" ht="19.5" customHeight="1">
      <c r="A33" s="3828"/>
      <c r="B33" s="3823"/>
      <c r="C33" s="507" t="s">
        <v>2009</v>
      </c>
      <c r="D33" s="508"/>
      <c r="E33" s="509">
        <v>0.8</v>
      </c>
      <c r="F33" s="506" t="s">
        <v>2010</v>
      </c>
      <c r="G33" s="506"/>
    </row>
    <row r="34" spans="1:7" ht="19.5" customHeight="1">
      <c r="A34" s="3828"/>
      <c r="B34" s="3823"/>
      <c r="C34" s="507" t="s">
        <v>2011</v>
      </c>
      <c r="D34" s="508"/>
      <c r="E34" s="509">
        <v>0.6</v>
      </c>
      <c r="F34" s="506" t="s">
        <v>2012</v>
      </c>
      <c r="G34" s="506"/>
    </row>
    <row r="35" spans="1:7" ht="19.5" customHeight="1">
      <c r="A35" s="3828"/>
      <c r="B35" s="3823"/>
      <c r="C35" s="507" t="s">
        <v>2013</v>
      </c>
      <c r="D35" s="508"/>
      <c r="E35" s="509">
        <v>0.2</v>
      </c>
      <c r="F35" s="506" t="s">
        <v>2014</v>
      </c>
      <c r="G35" s="506"/>
    </row>
    <row r="36" spans="1:7" ht="19.5" customHeight="1">
      <c r="A36" s="3828"/>
      <c r="B36" s="3823"/>
      <c r="C36" s="507" t="s">
        <v>2015</v>
      </c>
      <c r="D36" s="508"/>
      <c r="E36" s="509">
        <v>0.2</v>
      </c>
      <c r="F36" s="506" t="s">
        <v>2016</v>
      </c>
      <c r="G36" s="506"/>
    </row>
    <row r="37" spans="1:7" ht="19.5" customHeight="1">
      <c r="A37" s="3828"/>
      <c r="B37" s="3821" t="s">
        <v>2017</v>
      </c>
      <c r="C37" s="507" t="s">
        <v>2018</v>
      </c>
      <c r="D37" s="508"/>
      <c r="E37" s="509">
        <v>0.6</v>
      </c>
      <c r="F37" s="506" t="s">
        <v>2019</v>
      </c>
      <c r="G37" s="506"/>
    </row>
    <row r="38" spans="1:7" ht="19.5" customHeight="1">
      <c r="A38" s="3828"/>
      <c r="B38" s="3823"/>
      <c r="C38" s="507" t="s">
        <v>2020</v>
      </c>
      <c r="D38" s="508"/>
      <c r="E38" s="509">
        <v>0.6</v>
      </c>
      <c r="F38" s="506" t="s">
        <v>2021</v>
      </c>
      <c r="G38" s="506"/>
    </row>
    <row r="39" spans="1:7" ht="19.5" customHeight="1">
      <c r="A39" s="3829"/>
      <c r="B39" s="3831"/>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24" t="s">
        <v>408</v>
      </c>
      <c r="B41" s="3830" t="s">
        <v>2025</v>
      </c>
      <c r="C41" s="503" t="s">
        <v>2026</v>
      </c>
      <c r="D41" s="504"/>
      <c r="E41" s="505">
        <v>1</v>
      </c>
      <c r="F41" s="506" t="s">
        <v>2027</v>
      </c>
      <c r="G41" s="506"/>
    </row>
    <row r="42" spans="1:7" ht="19.5" customHeight="1">
      <c r="A42" s="3825"/>
      <c r="B42" s="3823"/>
      <c r="C42" s="507" t="s">
        <v>2028</v>
      </c>
      <c r="D42" s="508"/>
      <c r="E42" s="509">
        <v>1</v>
      </c>
      <c r="F42" s="506" t="s">
        <v>2029</v>
      </c>
      <c r="G42" s="506"/>
    </row>
    <row r="43" spans="1:7" ht="19.5" customHeight="1">
      <c r="A43" s="3825"/>
      <c r="B43" s="3822"/>
      <c r="C43" s="507" t="s">
        <v>2030</v>
      </c>
      <c r="D43" s="508"/>
      <c r="E43" s="509">
        <v>1.5</v>
      </c>
      <c r="F43" s="506" t="s">
        <v>2031</v>
      </c>
      <c r="G43" s="506"/>
    </row>
    <row r="44" spans="1:7" ht="19.5" customHeight="1">
      <c r="A44" s="3825"/>
      <c r="B44" s="519" t="s">
        <v>280</v>
      </c>
      <c r="C44" s="507" t="s">
        <v>1975</v>
      </c>
      <c r="D44" s="508"/>
      <c r="E44" s="509">
        <v>2</v>
      </c>
      <c r="F44" s="506" t="s">
        <v>2032</v>
      </c>
      <c r="G44" s="506"/>
    </row>
    <row r="45" spans="1:7" ht="19.5" customHeight="1">
      <c r="A45" s="3825"/>
      <c r="B45" s="3821" t="s">
        <v>2033</v>
      </c>
      <c r="C45" s="507" t="s">
        <v>2034</v>
      </c>
      <c r="D45" s="508"/>
      <c r="E45" s="509">
        <v>1</v>
      </c>
      <c r="F45" s="506" t="s">
        <v>2035</v>
      </c>
      <c r="G45" s="506"/>
    </row>
    <row r="46" spans="1:7" ht="19.5" customHeight="1">
      <c r="A46" s="3825"/>
      <c r="B46" s="3823"/>
      <c r="C46" s="507" t="s">
        <v>2036</v>
      </c>
      <c r="D46" s="508"/>
      <c r="E46" s="509">
        <v>1</v>
      </c>
      <c r="F46" s="506" t="s">
        <v>2037</v>
      </c>
      <c r="G46" s="506"/>
    </row>
    <row r="47" spans="1:7" ht="19.5" customHeight="1">
      <c r="A47" s="3825"/>
      <c r="B47" s="3823"/>
      <c r="C47" s="507" t="s">
        <v>2038</v>
      </c>
      <c r="D47" s="508"/>
      <c r="E47" s="509">
        <v>1</v>
      </c>
      <c r="F47" s="506" t="s">
        <v>2039</v>
      </c>
      <c r="G47" s="506"/>
    </row>
    <row r="48" spans="1:7" ht="19.5" customHeight="1">
      <c r="A48" s="3825"/>
      <c r="B48" s="3823"/>
      <c r="C48" s="507" t="s">
        <v>2040</v>
      </c>
      <c r="D48" s="508"/>
      <c r="E48" s="509">
        <v>1</v>
      </c>
      <c r="F48" s="506" t="s">
        <v>2041</v>
      </c>
      <c r="G48" s="506"/>
    </row>
    <row r="49" spans="1:7" ht="19.5" customHeight="1">
      <c r="A49" s="3825"/>
      <c r="B49" s="3823"/>
      <c r="C49" s="507" t="s">
        <v>2042</v>
      </c>
      <c r="D49" s="508"/>
      <c r="E49" s="509">
        <v>1</v>
      </c>
      <c r="F49" s="506" t="s">
        <v>2043</v>
      </c>
      <c r="G49" s="506"/>
    </row>
    <row r="50" spans="1:7" ht="19.5" customHeight="1">
      <c r="A50" s="3825"/>
      <c r="B50" s="3823"/>
      <c r="C50" s="507" t="s">
        <v>2044</v>
      </c>
      <c r="D50" s="508"/>
      <c r="E50" s="509">
        <v>1</v>
      </c>
      <c r="F50" s="506" t="s">
        <v>2045</v>
      </c>
      <c r="G50" s="506"/>
    </row>
    <row r="51" spans="1:7" ht="19.5" customHeight="1">
      <c r="A51" s="3826"/>
      <c r="B51" s="3831"/>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21" t="s">
        <v>2057</v>
      </c>
      <c r="C73" s="495" t="s">
        <v>2058</v>
      </c>
      <c r="D73" s="495" t="s">
        <v>2059</v>
      </c>
      <c r="E73" s="519">
        <v>0.2</v>
      </c>
      <c r="F73" s="519">
        <v>25</v>
      </c>
    </row>
    <row r="74" spans="1:7" ht="24">
      <c r="A74" s="519">
        <v>2</v>
      </c>
      <c r="B74" s="3823"/>
      <c r="C74" s="495" t="s">
        <v>2060</v>
      </c>
      <c r="D74" s="495" t="s">
        <v>2061</v>
      </c>
      <c r="E74" s="519">
        <v>0.2</v>
      </c>
      <c r="F74" s="519">
        <v>25</v>
      </c>
    </row>
    <row r="75" spans="1:7" ht="24">
      <c r="A75" s="519">
        <v>3</v>
      </c>
      <c r="B75" s="3823"/>
      <c r="C75" s="495" t="s">
        <v>2062</v>
      </c>
      <c r="D75" s="495" t="s">
        <v>2063</v>
      </c>
      <c r="E75" s="519">
        <v>0.2</v>
      </c>
      <c r="F75" s="519">
        <v>25</v>
      </c>
    </row>
    <row r="76" spans="1:7" ht="13.5">
      <c r="A76" s="519">
        <v>4</v>
      </c>
      <c r="B76" s="3823"/>
      <c r="C76" s="495" t="s">
        <v>2064</v>
      </c>
      <c r="D76" s="495" t="s">
        <v>2065</v>
      </c>
      <c r="E76" s="519">
        <v>0.15</v>
      </c>
      <c r="F76" s="519">
        <v>20</v>
      </c>
    </row>
    <row r="77" spans="1:7" ht="24">
      <c r="A77" s="519">
        <v>5</v>
      </c>
      <c r="B77" s="3823"/>
      <c r="C77" s="495" t="s">
        <v>2066</v>
      </c>
      <c r="D77" s="495" t="s">
        <v>2067</v>
      </c>
      <c r="E77" s="519">
        <v>0.15</v>
      </c>
      <c r="F77" s="519">
        <v>20</v>
      </c>
    </row>
    <row r="78" spans="1:7" ht="24">
      <c r="A78" s="519">
        <v>6</v>
      </c>
      <c r="B78" s="3823"/>
      <c r="C78" s="495" t="s">
        <v>2068</v>
      </c>
      <c r="D78" s="495" t="s">
        <v>2069</v>
      </c>
      <c r="E78" s="519">
        <v>0.15</v>
      </c>
      <c r="F78" s="519">
        <v>20</v>
      </c>
    </row>
    <row r="79" spans="1:7" ht="24">
      <c r="A79" s="519">
        <v>7</v>
      </c>
      <c r="B79" s="3823"/>
      <c r="C79" s="495" t="s">
        <v>2070</v>
      </c>
      <c r="D79" s="495" t="s">
        <v>2071</v>
      </c>
      <c r="E79" s="519">
        <v>0.15</v>
      </c>
      <c r="F79" s="519">
        <v>20</v>
      </c>
    </row>
    <row r="80" spans="1:7" ht="24">
      <c r="A80" s="519">
        <v>8</v>
      </c>
      <c r="B80" s="3823"/>
      <c r="C80" s="495" t="s">
        <v>2072</v>
      </c>
      <c r="D80" s="495" t="s">
        <v>2073</v>
      </c>
      <c r="E80" s="519">
        <v>0.1</v>
      </c>
      <c r="F80" s="519">
        <v>15</v>
      </c>
    </row>
    <row r="81" spans="1:6" ht="24">
      <c r="A81" s="519">
        <v>9</v>
      </c>
      <c r="B81" s="3823"/>
      <c r="C81" s="495" t="s">
        <v>2074</v>
      </c>
      <c r="D81" s="495" t="s">
        <v>2075</v>
      </c>
      <c r="E81" s="519">
        <v>0.1</v>
      </c>
      <c r="F81" s="519">
        <v>15</v>
      </c>
    </row>
    <row r="82" spans="1:6" ht="24">
      <c r="A82" s="519">
        <v>10</v>
      </c>
      <c r="B82" s="3823"/>
      <c r="C82" s="495" t="s">
        <v>2076</v>
      </c>
      <c r="D82" s="495" t="s">
        <v>2077</v>
      </c>
      <c r="E82" s="519">
        <v>0.1</v>
      </c>
      <c r="F82" s="519">
        <v>15</v>
      </c>
    </row>
    <row r="83" spans="1:6" ht="24">
      <c r="A83" s="519">
        <v>11</v>
      </c>
      <c r="B83" s="3823"/>
      <c r="C83" s="495" t="s">
        <v>2078</v>
      </c>
      <c r="D83" s="495" t="s">
        <v>2079</v>
      </c>
      <c r="E83" s="519">
        <v>0.1</v>
      </c>
      <c r="F83" s="519">
        <v>15</v>
      </c>
    </row>
    <row r="84" spans="1:6" ht="24">
      <c r="A84" s="519">
        <v>12</v>
      </c>
      <c r="B84" s="3823"/>
      <c r="C84" s="495" t="s">
        <v>2080</v>
      </c>
      <c r="D84" s="495" t="s">
        <v>2081</v>
      </c>
      <c r="E84" s="519">
        <v>0.1</v>
      </c>
      <c r="F84" s="519">
        <v>15</v>
      </c>
    </row>
    <row r="85" spans="1:6" ht="13.5">
      <c r="A85" s="519">
        <v>13</v>
      </c>
      <c r="B85" s="3823"/>
      <c r="C85" s="495" t="s">
        <v>2082</v>
      </c>
      <c r="D85" s="495" t="s">
        <v>2083</v>
      </c>
      <c r="E85" s="519">
        <v>0.1</v>
      </c>
      <c r="F85" s="519">
        <v>15</v>
      </c>
    </row>
    <row r="86" spans="1:6" ht="13.5">
      <c r="A86" s="519">
        <v>14</v>
      </c>
      <c r="B86" s="3823"/>
      <c r="C86" s="495" t="s">
        <v>2084</v>
      </c>
      <c r="D86" s="495" t="s">
        <v>2085</v>
      </c>
      <c r="E86" s="519">
        <v>0.1</v>
      </c>
      <c r="F86" s="519">
        <v>15</v>
      </c>
    </row>
    <row r="87" spans="1:6" ht="13.5">
      <c r="A87" s="519">
        <v>15</v>
      </c>
      <c r="B87" s="3823"/>
      <c r="C87" s="495" t="s">
        <v>2086</v>
      </c>
      <c r="D87" s="495" t="s">
        <v>2087</v>
      </c>
      <c r="E87" s="519">
        <v>0.1</v>
      </c>
      <c r="F87" s="519">
        <v>15</v>
      </c>
    </row>
    <row r="88" spans="1:6" ht="24">
      <c r="A88" s="519">
        <v>16</v>
      </c>
      <c r="B88" s="3823"/>
      <c r="C88" s="495" t="s">
        <v>2088</v>
      </c>
      <c r="D88" s="495" t="s">
        <v>2089</v>
      </c>
      <c r="E88" s="519">
        <v>0.1</v>
      </c>
      <c r="F88" s="519">
        <v>15</v>
      </c>
    </row>
    <row r="89" spans="1:6" ht="24">
      <c r="A89" s="519">
        <v>17</v>
      </c>
      <c r="B89" s="3822"/>
      <c r="C89" s="495" t="s">
        <v>2090</v>
      </c>
      <c r="D89" s="495" t="s">
        <v>2091</v>
      </c>
      <c r="E89" s="519">
        <v>0.1</v>
      </c>
      <c r="F89" s="519">
        <v>15</v>
      </c>
    </row>
    <row r="90" spans="1:6" ht="13.5">
      <c r="A90" s="519">
        <v>18</v>
      </c>
      <c r="B90" s="3821" t="s">
        <v>2092</v>
      </c>
      <c r="C90" s="495" t="s">
        <v>2093</v>
      </c>
      <c r="D90" s="495" t="s">
        <v>2094</v>
      </c>
      <c r="E90" s="519">
        <v>0.2</v>
      </c>
      <c r="F90" s="519">
        <v>25</v>
      </c>
    </row>
    <row r="91" spans="1:6" ht="24">
      <c r="A91" s="519">
        <v>19</v>
      </c>
      <c r="B91" s="3823"/>
      <c r="C91" s="495" t="s">
        <v>2095</v>
      </c>
      <c r="D91" s="495" t="s">
        <v>2096</v>
      </c>
      <c r="E91" s="519">
        <v>0.2</v>
      </c>
      <c r="F91" s="519">
        <v>25</v>
      </c>
    </row>
    <row r="92" spans="1:6" ht="13.5">
      <c r="A92" s="519">
        <v>20</v>
      </c>
      <c r="B92" s="3823"/>
      <c r="C92" s="495" t="s">
        <v>2097</v>
      </c>
      <c r="D92" s="495" t="s">
        <v>2098</v>
      </c>
      <c r="E92" s="519">
        <v>0.15</v>
      </c>
      <c r="F92" s="519">
        <v>20</v>
      </c>
    </row>
    <row r="93" spans="1:6" ht="13.5">
      <c r="A93" s="519">
        <v>21</v>
      </c>
      <c r="B93" s="3823"/>
      <c r="C93" s="495" t="s">
        <v>2099</v>
      </c>
      <c r="D93" s="495" t="s">
        <v>2100</v>
      </c>
      <c r="E93" s="519">
        <v>0.15</v>
      </c>
      <c r="F93" s="519">
        <v>20</v>
      </c>
    </row>
    <row r="94" spans="1:6" ht="13.5">
      <c r="A94" s="519">
        <v>22</v>
      </c>
      <c r="B94" s="3823"/>
      <c r="C94" s="495" t="s">
        <v>2101</v>
      </c>
      <c r="D94" s="495" t="s">
        <v>2102</v>
      </c>
      <c r="E94" s="519">
        <v>0.15</v>
      </c>
      <c r="F94" s="519">
        <v>20</v>
      </c>
    </row>
    <row r="95" spans="1:6" ht="36">
      <c r="A95" s="519">
        <v>23</v>
      </c>
      <c r="B95" s="3823"/>
      <c r="C95" s="495" t="s">
        <v>2103</v>
      </c>
      <c r="D95" s="495" t="s">
        <v>2104</v>
      </c>
      <c r="E95" s="519">
        <v>0.15</v>
      </c>
      <c r="F95" s="519">
        <v>20</v>
      </c>
    </row>
    <row r="96" spans="1:6" ht="13.5">
      <c r="A96" s="519">
        <v>24</v>
      </c>
      <c r="B96" s="3823"/>
      <c r="C96" s="495" t="s">
        <v>2105</v>
      </c>
      <c r="D96" s="495" t="s">
        <v>2106</v>
      </c>
      <c r="E96" s="519">
        <v>0.1</v>
      </c>
      <c r="F96" s="519">
        <v>15</v>
      </c>
    </row>
    <row r="97" spans="1:6" ht="13.5">
      <c r="A97" s="519">
        <v>25</v>
      </c>
      <c r="B97" s="3823"/>
      <c r="C97" s="495" t="s">
        <v>2107</v>
      </c>
      <c r="D97" s="495" t="s">
        <v>2108</v>
      </c>
      <c r="E97" s="519">
        <v>0.1</v>
      </c>
      <c r="F97" s="519">
        <v>15</v>
      </c>
    </row>
    <row r="98" spans="1:6" ht="24">
      <c r="A98" s="519">
        <v>26</v>
      </c>
      <c r="B98" s="3823"/>
      <c r="C98" s="495" t="s">
        <v>2109</v>
      </c>
      <c r="D98" s="495" t="s">
        <v>2110</v>
      </c>
      <c r="E98" s="519">
        <v>0.1</v>
      </c>
      <c r="F98" s="519">
        <v>15</v>
      </c>
    </row>
    <row r="99" spans="1:6" ht="24">
      <c r="A99" s="519">
        <v>27</v>
      </c>
      <c r="B99" s="3823"/>
      <c r="C99" s="495" t="s">
        <v>2111</v>
      </c>
      <c r="D99" s="495" t="s">
        <v>2112</v>
      </c>
      <c r="E99" s="519">
        <v>0.1</v>
      </c>
      <c r="F99" s="519">
        <v>15</v>
      </c>
    </row>
    <row r="100" spans="1:6" ht="13.5">
      <c r="A100" s="519">
        <v>28</v>
      </c>
      <c r="B100" s="3823"/>
      <c r="C100" s="495" t="s">
        <v>2113</v>
      </c>
      <c r="D100" s="495" t="s">
        <v>2114</v>
      </c>
      <c r="E100" s="519">
        <v>0.1</v>
      </c>
      <c r="F100" s="519">
        <v>15</v>
      </c>
    </row>
    <row r="101" spans="1:6" ht="13.5">
      <c r="A101" s="519">
        <v>29</v>
      </c>
      <c r="B101" s="3823"/>
      <c r="C101" s="495" t="s">
        <v>2115</v>
      </c>
      <c r="D101" s="495" t="s">
        <v>2116</v>
      </c>
      <c r="E101" s="519">
        <v>0.1</v>
      </c>
      <c r="F101" s="519">
        <v>15</v>
      </c>
    </row>
    <row r="102" spans="1:6" ht="13.5">
      <c r="A102" s="519">
        <v>30</v>
      </c>
      <c r="B102" s="3823"/>
      <c r="C102" s="495" t="s">
        <v>2117</v>
      </c>
      <c r="D102" s="495" t="s">
        <v>2118</v>
      </c>
      <c r="E102" s="519">
        <v>0.1</v>
      </c>
      <c r="F102" s="519">
        <v>15</v>
      </c>
    </row>
    <row r="103" spans="1:6" ht="24">
      <c r="A103" s="519">
        <v>31</v>
      </c>
      <c r="B103" s="3823"/>
      <c r="C103" s="495" t="s">
        <v>2119</v>
      </c>
      <c r="D103" s="495" t="s">
        <v>2120</v>
      </c>
      <c r="E103" s="519">
        <v>0.1</v>
      </c>
      <c r="F103" s="519">
        <v>15</v>
      </c>
    </row>
    <row r="104" spans="1:6" ht="24">
      <c r="A104" s="519">
        <v>32</v>
      </c>
      <c r="B104" s="3823"/>
      <c r="C104" s="495" t="s">
        <v>2121</v>
      </c>
      <c r="D104" s="495" t="s">
        <v>2122</v>
      </c>
      <c r="E104" s="519">
        <v>0.1</v>
      </c>
      <c r="F104" s="519">
        <v>15</v>
      </c>
    </row>
    <row r="105" spans="1:6" ht="24">
      <c r="A105" s="519">
        <v>33</v>
      </c>
      <c r="B105" s="3823"/>
      <c r="C105" s="495" t="s">
        <v>2123</v>
      </c>
      <c r="D105" s="495" t="s">
        <v>2124</v>
      </c>
      <c r="E105" s="519">
        <v>0.1</v>
      </c>
      <c r="F105" s="519">
        <v>15</v>
      </c>
    </row>
    <row r="106" spans="1:6" ht="24">
      <c r="A106" s="519">
        <v>34</v>
      </c>
      <c r="B106" s="3822"/>
      <c r="C106" s="495" t="s">
        <v>2125</v>
      </c>
      <c r="D106" s="495" t="s">
        <v>2126</v>
      </c>
      <c r="E106" s="519">
        <v>0.1</v>
      </c>
      <c r="F106" s="519">
        <v>15</v>
      </c>
    </row>
    <row r="107" spans="1:6" ht="24">
      <c r="A107" s="519">
        <v>35</v>
      </c>
      <c r="B107" s="3821" t="s">
        <v>2127</v>
      </c>
      <c r="C107" s="519" t="s">
        <v>2128</v>
      </c>
      <c r="D107" s="495" t="s">
        <v>2129</v>
      </c>
      <c r="E107" s="519">
        <v>0.15</v>
      </c>
      <c r="F107" s="519">
        <v>20</v>
      </c>
    </row>
    <row r="108" spans="1:6" ht="13.5">
      <c r="A108" s="519">
        <v>36</v>
      </c>
      <c r="B108" s="3823"/>
      <c r="C108" s="519" t="s">
        <v>2130</v>
      </c>
      <c r="D108" s="495" t="s">
        <v>2131</v>
      </c>
      <c r="E108" s="519">
        <v>0.15</v>
      </c>
      <c r="F108" s="519">
        <v>20</v>
      </c>
    </row>
    <row r="109" spans="1:6" ht="13.5">
      <c r="A109" s="519">
        <v>37</v>
      </c>
      <c r="B109" s="3823"/>
      <c r="C109" s="519" t="s">
        <v>2132</v>
      </c>
      <c r="D109" s="495" t="s">
        <v>2133</v>
      </c>
      <c r="E109" s="519">
        <v>0.15</v>
      </c>
      <c r="F109" s="519">
        <v>20</v>
      </c>
    </row>
    <row r="110" spans="1:6" ht="13.5">
      <c r="A110" s="519">
        <v>38</v>
      </c>
      <c r="B110" s="3823"/>
      <c r="C110" s="519" t="s">
        <v>2134</v>
      </c>
      <c r="D110" s="495" t="s">
        <v>2135</v>
      </c>
      <c r="E110" s="519">
        <v>0.1</v>
      </c>
      <c r="F110" s="519">
        <v>15</v>
      </c>
    </row>
    <row r="111" spans="1:6" ht="24">
      <c r="A111" s="519">
        <v>39</v>
      </c>
      <c r="B111" s="3823"/>
      <c r="C111" s="519" t="s">
        <v>2136</v>
      </c>
      <c r="D111" s="495" t="s">
        <v>2137</v>
      </c>
      <c r="E111" s="519">
        <v>0.1</v>
      </c>
      <c r="F111" s="519">
        <v>15</v>
      </c>
    </row>
    <row r="112" spans="1:6" ht="24">
      <c r="A112" s="519">
        <v>40</v>
      </c>
      <c r="B112" s="3822"/>
      <c r="C112" s="519" t="s">
        <v>2138</v>
      </c>
      <c r="D112" s="495" t="s">
        <v>2139</v>
      </c>
      <c r="E112" s="519">
        <v>0.1</v>
      </c>
      <c r="F112" s="519">
        <v>15</v>
      </c>
    </row>
    <row r="113" spans="1:6" ht="13.5">
      <c r="A113" s="519">
        <v>41</v>
      </c>
      <c r="B113" s="3820" t="s">
        <v>2140</v>
      </c>
      <c r="C113" s="519" t="s">
        <v>2141</v>
      </c>
      <c r="D113" s="495" t="s">
        <v>2142</v>
      </c>
      <c r="E113" s="519">
        <v>0.1</v>
      </c>
      <c r="F113" s="519">
        <v>15</v>
      </c>
    </row>
    <row r="114" spans="1:6" ht="13.5">
      <c r="A114" s="519">
        <v>42</v>
      </c>
      <c r="B114" s="3820"/>
      <c r="C114" s="519" t="s">
        <v>2143</v>
      </c>
      <c r="D114" s="495" t="s">
        <v>2144</v>
      </c>
      <c r="E114" s="519">
        <v>0.1</v>
      </c>
      <c r="F114" s="519">
        <v>15</v>
      </c>
    </row>
    <row r="115" spans="1:6" ht="24">
      <c r="A115" s="519">
        <v>43</v>
      </c>
      <c r="B115" s="3820"/>
      <c r="C115" s="519" t="s">
        <v>2145</v>
      </c>
      <c r="D115" s="495" t="s">
        <v>2146</v>
      </c>
      <c r="E115" s="519">
        <v>0.1</v>
      </c>
      <c r="F115" s="519">
        <v>15</v>
      </c>
    </row>
    <row r="116" spans="1:6" ht="13.5">
      <c r="A116" s="519">
        <v>44</v>
      </c>
      <c r="B116" s="3821" t="s">
        <v>2147</v>
      </c>
      <c r="C116" s="519" t="s">
        <v>2148</v>
      </c>
      <c r="D116" s="495" t="s">
        <v>2149</v>
      </c>
      <c r="E116" s="519">
        <v>0.1</v>
      </c>
      <c r="F116" s="519">
        <v>15</v>
      </c>
    </row>
    <row r="117" spans="1:6" ht="24">
      <c r="A117" s="519">
        <v>45</v>
      </c>
      <c r="B117" s="3822"/>
      <c r="C117" s="495" t="s">
        <v>2150</v>
      </c>
      <c r="D117" s="495" t="s">
        <v>2151</v>
      </c>
      <c r="E117" s="519">
        <v>0.1</v>
      </c>
      <c r="F117" s="519">
        <v>15</v>
      </c>
    </row>
    <row r="118" spans="1:6" ht="24">
      <c r="A118" s="519">
        <v>46</v>
      </c>
      <c r="B118" s="3821" t="s">
        <v>2152</v>
      </c>
      <c r="C118" s="519" t="s">
        <v>2153</v>
      </c>
      <c r="D118" s="495" t="s">
        <v>2154</v>
      </c>
      <c r="E118" s="519">
        <v>0.1</v>
      </c>
      <c r="F118" s="519">
        <v>15</v>
      </c>
    </row>
    <row r="119" spans="1:6" ht="24">
      <c r="A119" s="519">
        <v>47</v>
      </c>
      <c r="B119" s="3822"/>
      <c r="C119" s="519" t="s">
        <v>2155</v>
      </c>
      <c r="D119" s="495" t="s">
        <v>2156</v>
      </c>
      <c r="E119" s="519">
        <v>0.1</v>
      </c>
      <c r="F119" s="519">
        <v>15</v>
      </c>
    </row>
    <row r="120" spans="1:6" ht="13.5">
      <c r="A120" s="519">
        <v>48</v>
      </c>
      <c r="B120" s="3821" t="s">
        <v>2157</v>
      </c>
      <c r="C120" s="519" t="s">
        <v>2158</v>
      </c>
      <c r="D120" s="495" t="s">
        <v>2159</v>
      </c>
      <c r="E120" s="519">
        <v>0.1</v>
      </c>
      <c r="F120" s="519">
        <v>15</v>
      </c>
    </row>
    <row r="121" spans="1:6" ht="13.5">
      <c r="A121" s="519">
        <v>49</v>
      </c>
      <c r="B121" s="3822"/>
      <c r="C121" s="519" t="s">
        <v>2160</v>
      </c>
      <c r="D121" s="495" t="s">
        <v>2161</v>
      </c>
      <c r="E121" s="519">
        <v>0.1</v>
      </c>
      <c r="F121" s="519">
        <v>15</v>
      </c>
    </row>
    <row r="122" spans="1:6" ht="24">
      <c r="A122" s="519">
        <v>50</v>
      </c>
      <c r="B122" s="3820" t="s">
        <v>2162</v>
      </c>
      <c r="C122" s="519" t="s">
        <v>2163</v>
      </c>
      <c r="D122" s="495" t="s">
        <v>2164</v>
      </c>
      <c r="E122" s="519">
        <v>0.1</v>
      </c>
      <c r="F122" s="519">
        <v>15</v>
      </c>
    </row>
    <row r="123" spans="1:6" ht="24">
      <c r="A123" s="519">
        <v>51</v>
      </c>
      <c r="B123" s="3820"/>
      <c r="C123" s="519" t="s">
        <v>2165</v>
      </c>
      <c r="D123" s="495" t="s">
        <v>2166</v>
      </c>
      <c r="E123" s="519">
        <v>0.1</v>
      </c>
      <c r="F123" s="519">
        <v>15</v>
      </c>
    </row>
    <row r="124" spans="1:6" ht="24">
      <c r="A124" s="519">
        <v>52</v>
      </c>
      <c r="B124" s="3820" t="s">
        <v>2167</v>
      </c>
      <c r="C124" s="519" t="s">
        <v>2168</v>
      </c>
      <c r="D124" s="495" t="s">
        <v>2169</v>
      </c>
      <c r="E124" s="519">
        <v>0.1</v>
      </c>
      <c r="F124" s="519">
        <v>15</v>
      </c>
    </row>
    <row r="125" spans="1:6" ht="24">
      <c r="A125" s="519">
        <v>53</v>
      </c>
      <c r="B125" s="3820"/>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20" t="s">
        <v>2175</v>
      </c>
      <c r="C127" s="519" t="s">
        <v>2176</v>
      </c>
      <c r="D127" s="495" t="s">
        <v>2177</v>
      </c>
      <c r="E127" s="519">
        <v>0.1</v>
      </c>
      <c r="F127" s="519">
        <v>15</v>
      </c>
    </row>
    <row r="128" spans="1:6" ht="13.5">
      <c r="A128" s="519">
        <v>56</v>
      </c>
      <c r="B128" s="3820"/>
      <c r="C128" s="519" t="s">
        <v>2178</v>
      </c>
      <c r="D128" s="495" t="s">
        <v>2179</v>
      </c>
      <c r="E128" s="519">
        <v>0.1</v>
      </c>
      <c r="F128" s="519">
        <v>15</v>
      </c>
    </row>
    <row r="129" spans="1:6" ht="24">
      <c r="A129" s="519">
        <v>57</v>
      </c>
      <c r="B129" s="3820"/>
      <c r="C129" s="519" t="s">
        <v>2180</v>
      </c>
      <c r="D129" s="495" t="s">
        <v>2181</v>
      </c>
      <c r="E129" s="519">
        <v>0.1</v>
      </c>
      <c r="F129" s="519">
        <v>15</v>
      </c>
    </row>
    <row r="130" spans="1:6" ht="24">
      <c r="A130" s="519">
        <v>58</v>
      </c>
      <c r="B130" s="3820" t="s">
        <v>2182</v>
      </c>
      <c r="C130" s="519" t="s">
        <v>2183</v>
      </c>
      <c r="D130" s="495" t="s">
        <v>2184</v>
      </c>
      <c r="E130" s="519">
        <v>0.1</v>
      </c>
      <c r="F130" s="519">
        <v>15</v>
      </c>
    </row>
    <row r="131" spans="1:6" ht="13.5">
      <c r="A131" s="519">
        <v>59</v>
      </c>
      <c r="B131" s="3820"/>
      <c r="C131" s="519" t="s">
        <v>2185</v>
      </c>
      <c r="D131" s="495" t="s">
        <v>2186</v>
      </c>
      <c r="E131" s="519">
        <v>0.1</v>
      </c>
      <c r="F131" s="519">
        <v>15</v>
      </c>
    </row>
    <row r="132" spans="1:6" ht="13.5">
      <c r="A132" s="519">
        <v>60</v>
      </c>
      <c r="B132" s="3821" t="s">
        <v>2187</v>
      </c>
      <c r="C132" s="519" t="s">
        <v>2188</v>
      </c>
      <c r="D132" s="495" t="s">
        <v>2189</v>
      </c>
      <c r="E132" s="519">
        <v>0.1</v>
      </c>
      <c r="F132" s="519">
        <v>15</v>
      </c>
    </row>
    <row r="133" spans="1:6" ht="13.5">
      <c r="A133" s="519">
        <v>61</v>
      </c>
      <c r="B133" s="3822"/>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20" t="s">
        <v>2195</v>
      </c>
      <c r="C135" s="519" t="s">
        <v>2196</v>
      </c>
      <c r="D135" s="495" t="s">
        <v>2197</v>
      </c>
      <c r="E135" s="519">
        <v>0.1</v>
      </c>
      <c r="F135" s="519">
        <v>15</v>
      </c>
    </row>
    <row r="136" spans="1:6" ht="13.5">
      <c r="A136" s="519">
        <v>64</v>
      </c>
      <c r="B136" s="3820"/>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1.0512999999999999</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40162</v>
      </c>
      <c r="C2" s="379" t="s">
        <v>1436</v>
      </c>
      <c r="D2" s="376"/>
      <c r="E2" s="376"/>
      <c r="F2" s="376"/>
      <c r="G2" s="376"/>
    </row>
    <row r="3" spans="1:7" s="365" customFormat="1" ht="18" customHeight="1">
      <c r="A3" s="380" t="s">
        <v>2216</v>
      </c>
      <c r="B3" s="381">
        <f ca="1">ROUND(B2*10000/'数据-汇总表'!E3,0)</f>
        <v>13610</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253</v>
      </c>
      <c r="D9" s="403">
        <f>'数据-汇总表'!E5</f>
        <v>15813.740000000045</v>
      </c>
      <c r="E9" s="402">
        <f>'数据-取费表'!B27</f>
        <v>160</v>
      </c>
      <c r="F9" s="397"/>
      <c r="G9" s="404"/>
    </row>
    <row r="10" spans="1:7" s="367" customFormat="1" ht="13.5" customHeight="1">
      <c r="A10" s="400" t="s">
        <v>1044</v>
      </c>
      <c r="B10" s="401" t="s">
        <v>2228</v>
      </c>
      <c r="C10" s="402">
        <f>ROUND(D10*E10/10000,0)</f>
        <v>274</v>
      </c>
      <c r="D10" s="403">
        <f>'数据-汇总表'!E6</f>
        <v>13695.73999999998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502</v>
      </c>
      <c r="D19" s="411">
        <f>'数据-汇总表'!E3</f>
        <v>29509.480000000025</v>
      </c>
      <c r="E19" s="387">
        <f>'数据-取费表'!B31</f>
        <v>170</v>
      </c>
      <c r="F19" s="412"/>
      <c r="G19" s="399" t="s">
        <v>2239</v>
      </c>
    </row>
    <row r="20" spans="1:7" s="367" customFormat="1" ht="13.5" customHeight="1">
      <c r="A20" s="410" t="s">
        <v>1828</v>
      </c>
      <c r="B20" s="386" t="s">
        <v>2240</v>
      </c>
      <c r="C20" s="413">
        <f>ROUND((C5+C19)*F20,0)</f>
        <v>422</v>
      </c>
      <c r="D20" s="413"/>
      <c r="E20" s="413"/>
      <c r="F20" s="414">
        <f>'数据-取费表'!B37</f>
        <v>0.02</v>
      </c>
      <c r="G20" s="415" t="s">
        <v>2241</v>
      </c>
    </row>
    <row r="21" spans="1:7" s="367" customFormat="1" ht="13.5" customHeight="1">
      <c r="A21" s="410" t="s">
        <v>1833</v>
      </c>
      <c r="B21" s="386" t="s">
        <v>2242</v>
      </c>
      <c r="C21" s="416">
        <f>F21</f>
        <v>0.02</v>
      </c>
      <c r="D21" s="417" t="s">
        <v>2243</v>
      </c>
      <c r="E21" s="413"/>
      <c r="F21" s="414">
        <f>'数据-取费表'!B38</f>
        <v>0.02</v>
      </c>
      <c r="G21" s="418" t="s">
        <v>2244</v>
      </c>
    </row>
    <row r="22" spans="1:7" s="367" customFormat="1" ht="13.5" customHeight="1">
      <c r="A22" s="410" t="s">
        <v>1842</v>
      </c>
      <c r="B22" s="386" t="s">
        <v>2245</v>
      </c>
      <c r="C22" s="419">
        <f ca="1">ROUND(SUM(C23:C25),0)</f>
        <v>886</v>
      </c>
      <c r="D22" s="416">
        <f ca="1">C26</f>
        <v>4.0000000000000002E-4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9</v>
      </c>
      <c r="D25" s="423"/>
      <c r="E25" s="426"/>
      <c r="F25" s="424"/>
      <c r="G25" s="427" t="s">
        <v>2251</v>
      </c>
    </row>
    <row r="26" spans="1:7" s="367" customFormat="1">
      <c r="A26" s="421" t="s">
        <v>1080</v>
      </c>
      <c r="B26" s="391" t="s">
        <v>2252</v>
      </c>
      <c r="C26" s="423">
        <f ca="1">ROUND(IF('数据-取费表'!B22&lt;=1,F21*F22*'数据-取费表'!B23/2,F21*(POWER((1+F22),'数据-取费表'!B23/2)-1)),4)</f>
        <v>4.0000000000000002E-4</v>
      </c>
      <c r="D26" s="423"/>
      <c r="E26" s="426"/>
      <c r="F26" s="424"/>
      <c r="G26" s="428"/>
    </row>
    <row r="27" spans="1:7" s="367" customFormat="1" ht="24.75">
      <c r="A27" s="410" t="s">
        <v>1851</v>
      </c>
      <c r="B27" s="429" t="s">
        <v>2253</v>
      </c>
      <c r="C27" s="430">
        <f>C28</f>
        <v>1680</v>
      </c>
      <c r="D27" s="416">
        <f>C29</f>
        <v>1.6000000000000001E-3</v>
      </c>
      <c r="E27" s="417" t="s">
        <v>2243</v>
      </c>
      <c r="F27" s="431">
        <f>'数据-取费表'!Q16</f>
        <v>0.13</v>
      </c>
      <c r="G27" s="432" t="s">
        <v>2254</v>
      </c>
    </row>
    <row r="28" spans="1:7" s="367" customFormat="1" ht="13.5" customHeight="1">
      <c r="A28" s="421" t="s">
        <v>1033</v>
      </c>
      <c r="B28" s="433" t="s">
        <v>2255</v>
      </c>
      <c r="C28" s="434">
        <f>ROUND((C5+C19+C20)*F27*'数据-取费表'!B21/'数据-取费表'!B20,0)</f>
        <v>1680</v>
      </c>
      <c r="D28" s="416"/>
      <c r="E28" s="417"/>
      <c r="F28" s="431"/>
      <c r="G28" s="432"/>
    </row>
    <row r="29" spans="1:7" s="367" customFormat="1" ht="13.5" customHeight="1">
      <c r="A29" s="421" t="s">
        <v>1035</v>
      </c>
      <c r="B29" s="433" t="s">
        <v>2256</v>
      </c>
      <c r="C29" s="423">
        <f>ROUND(C21*F27*'数据-取费表'!B21/'数据-取费表'!B20,4)</f>
        <v>1.6000000000000001E-3</v>
      </c>
      <c r="D29" s="416"/>
      <c r="E29" s="417"/>
      <c r="F29" s="431"/>
      <c r="G29" s="432"/>
    </row>
    <row r="30" spans="1:7" s="367" customFormat="1" ht="13.5" customHeight="1">
      <c r="A30" s="410" t="s">
        <v>2257</v>
      </c>
      <c r="B30" s="386" t="s">
        <v>2258</v>
      </c>
      <c r="C30" s="416">
        <f>F30</f>
        <v>5.5E-2</v>
      </c>
      <c r="D30" s="417" t="s">
        <v>2259</v>
      </c>
      <c r="E30" s="426"/>
      <c r="F30" s="420">
        <f>'数据-取费表'!B41</f>
        <v>5.5E-2</v>
      </c>
      <c r="G30" s="418" t="s">
        <v>2260</v>
      </c>
    </row>
    <row r="31" spans="1:7" ht="16.5" customHeight="1">
      <c r="A31" s="435">
        <v>1</v>
      </c>
      <c r="B31" s="386" t="s">
        <v>2261</v>
      </c>
      <c r="C31" s="387">
        <f ca="1">ROUND((C5+C19+C20+C22+C27)/(1-C21-D22-D27-C30/(1+'数据-取费表'!B42)),0)</f>
        <v>26037</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11127</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9802</v>
      </c>
      <c r="D34" s="393"/>
      <c r="E34" s="396"/>
      <c r="F34" s="442">
        <f>IF('数据-取费表'!B24=0,1,'数据-取费表'!N16)</f>
        <v>0.6</v>
      </c>
      <c r="G34" s="395" t="s">
        <v>2266</v>
      </c>
    </row>
    <row r="35" spans="1:7" ht="13.5" customHeight="1">
      <c r="A35" s="421" t="s">
        <v>1035</v>
      </c>
      <c r="B35" s="391" t="s">
        <v>2267</v>
      </c>
      <c r="C35" s="396">
        <f>ROUND(C34*F35,0)</f>
        <v>490</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285</v>
      </c>
      <c r="D36" s="396"/>
      <c r="E36" s="396"/>
      <c r="F36" s="443">
        <f>'数据-取费表'!B34</f>
        <v>0.05</v>
      </c>
      <c r="G36" s="444" t="s">
        <v>2270</v>
      </c>
    </row>
    <row r="37" spans="1:7" s="369" customFormat="1" ht="13.5" customHeight="1">
      <c r="A37" s="421" t="s">
        <v>1080</v>
      </c>
      <c r="B37" s="391" t="s">
        <v>2271</v>
      </c>
      <c r="C37" s="434">
        <f>ROUND(E37*D37*F34/10000,0)</f>
        <v>354</v>
      </c>
      <c r="D37" s="393">
        <f>'数据-汇总表'!E3</f>
        <v>29509.480000000025</v>
      </c>
      <c r="E37" s="434">
        <f>'数据-取费表'!B35</f>
        <v>200</v>
      </c>
      <c r="F37" s="443"/>
      <c r="G37" s="445" t="s">
        <v>2272</v>
      </c>
    </row>
    <row r="38" spans="1:7" ht="13.5" customHeight="1">
      <c r="A38" s="421" t="s">
        <v>1102</v>
      </c>
      <c r="B38" s="391" t="s">
        <v>2230</v>
      </c>
      <c r="C38" s="396">
        <f>ROUND(C34*F38,0)</f>
        <v>196</v>
      </c>
      <c r="D38" s="396"/>
      <c r="E38" s="396"/>
      <c r="F38" s="443">
        <f>'数据-取费表'!B36</f>
        <v>0.02</v>
      </c>
      <c r="G38" s="395" t="s">
        <v>2268</v>
      </c>
    </row>
    <row r="39" spans="1:7" s="367" customFormat="1" ht="13.5" customHeight="1">
      <c r="A39" s="410" t="s">
        <v>1791</v>
      </c>
      <c r="B39" s="386" t="s">
        <v>2240</v>
      </c>
      <c r="C39" s="413">
        <f>ROUND(C33*F20,0)</f>
        <v>223</v>
      </c>
      <c r="D39" s="413"/>
      <c r="E39" s="413"/>
      <c r="F39" s="414"/>
      <c r="G39" s="415" t="s">
        <v>2273</v>
      </c>
    </row>
    <row r="40" spans="1:7" s="367" customFormat="1" ht="13.5" customHeight="1">
      <c r="A40" s="410" t="s">
        <v>1828</v>
      </c>
      <c r="B40" s="386" t="s">
        <v>2242</v>
      </c>
      <c r="C40" s="446">
        <f>F21</f>
        <v>0.02</v>
      </c>
      <c r="D40" s="417" t="s">
        <v>2274</v>
      </c>
      <c r="E40" s="413"/>
      <c r="F40" s="414"/>
      <c r="G40" s="418" t="s">
        <v>2275</v>
      </c>
    </row>
    <row r="41" spans="1:7" s="367" customFormat="1" ht="13.5" customHeight="1">
      <c r="A41" s="410" t="s">
        <v>1833</v>
      </c>
      <c r="B41" s="386" t="s">
        <v>2245</v>
      </c>
      <c r="C41" s="413">
        <f ca="1">ROUND(SUM(C42:C43),0)</f>
        <v>234</v>
      </c>
      <c r="D41" s="416">
        <f ca="1">C44</f>
        <v>4.0000000000000002E-4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229</v>
      </c>
      <c r="D42" s="423"/>
      <c r="E42" s="423"/>
      <c r="F42" s="424"/>
      <c r="G42" s="3693" t="s">
        <v>2276</v>
      </c>
    </row>
    <row r="43" spans="1:7" ht="13.5" customHeight="1">
      <c r="A43" s="421" t="s">
        <v>1035</v>
      </c>
      <c r="B43" s="391" t="s">
        <v>2248</v>
      </c>
      <c r="C43" s="423">
        <f ca="1">ROUND(IF('数据-取费表'!B22&lt;=1,C39*F22*'数据-取费表'!B21/2,C39*(POWER((1+F22),'数据-取费表'!B21/2)-1)),0)</f>
        <v>5</v>
      </c>
      <c r="D43" s="423"/>
      <c r="E43" s="423"/>
      <c r="F43" s="424"/>
      <c r="G43" s="3694"/>
    </row>
    <row r="44" spans="1:7" ht="13.5" customHeight="1">
      <c r="A44" s="421" t="s">
        <v>1037</v>
      </c>
      <c r="B44" s="391" t="s">
        <v>2250</v>
      </c>
      <c r="C44" s="423">
        <f ca="1">ROUND(IF('数据-取费表'!B22&lt;=1,C40*F22*'数据-取费表'!B21/2,C40*(POWER((1+F22),'数据-取费表'!B21/2)-1)),4)</f>
        <v>4.0000000000000002E-4</v>
      </c>
      <c r="D44" s="423"/>
      <c r="E44" s="423"/>
      <c r="F44" s="424"/>
      <c r="G44" s="3695"/>
    </row>
    <row r="45" spans="1:7" s="367" customFormat="1" ht="13.5" customHeight="1">
      <c r="A45" s="410" t="s">
        <v>1842</v>
      </c>
      <c r="B45" s="429" t="s">
        <v>2253</v>
      </c>
      <c r="C45" s="430">
        <f>C46</f>
        <v>1476</v>
      </c>
      <c r="D45" s="416">
        <f>C47</f>
        <v>2.5999999999999999E-3</v>
      </c>
      <c r="E45" s="417" t="s">
        <v>2274</v>
      </c>
      <c r="F45" s="431"/>
      <c r="G45" s="432" t="s">
        <v>2277</v>
      </c>
    </row>
    <row r="46" spans="1:7" s="367" customFormat="1" ht="13.5" customHeight="1">
      <c r="A46" s="421" t="s">
        <v>1033</v>
      </c>
      <c r="B46" s="433" t="s">
        <v>2278</v>
      </c>
      <c r="C46" s="434">
        <f>ROUND((C33+C39)*F27,0)</f>
        <v>1476</v>
      </c>
      <c r="D46" s="447"/>
      <c r="E46" s="417"/>
      <c r="F46" s="431"/>
      <c r="G46" s="432"/>
    </row>
    <row r="47" spans="1:7" s="367" customFormat="1" ht="13.5" customHeight="1">
      <c r="A47" s="421" t="s">
        <v>1035</v>
      </c>
      <c r="B47" s="433" t="s">
        <v>2279</v>
      </c>
      <c r="C47" s="423">
        <f>ROUND(C40*F27,4)</f>
        <v>2.5999999999999999E-3</v>
      </c>
      <c r="D47" s="447"/>
      <c r="E47" s="417"/>
      <c r="F47" s="431"/>
      <c r="G47" s="432"/>
    </row>
    <row r="48" spans="1:7" s="367" customFormat="1" ht="13.5" customHeight="1">
      <c r="A48" s="410" t="s">
        <v>1851</v>
      </c>
      <c r="B48" s="386" t="s">
        <v>2258</v>
      </c>
      <c r="C48" s="446">
        <f>F30</f>
        <v>5.5E-2</v>
      </c>
      <c r="D48" s="417" t="s">
        <v>2280</v>
      </c>
      <c r="E48" s="413"/>
      <c r="F48" s="420"/>
      <c r="G48" s="418" t="s">
        <v>2281</v>
      </c>
    </row>
    <row r="49" spans="1:7" ht="16.5" customHeight="1">
      <c r="A49" s="410" t="s">
        <v>2257</v>
      </c>
      <c r="B49" s="386" t="s">
        <v>2282</v>
      </c>
      <c r="C49" s="413">
        <f ca="1">ROUND((C33+C39+C41+C45)/(1-C40-D41-D45-C48/(1+'数据-取费表'!B42)),0)</f>
        <v>14125</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14125</v>
      </c>
      <c r="D51" s="413"/>
      <c r="E51" s="413"/>
      <c r="F51" s="448"/>
      <c r="G51" s="418" t="s">
        <v>2289</v>
      </c>
    </row>
    <row r="52" spans="1:7" s="366" customFormat="1" ht="15.75">
      <c r="A52" s="449" t="s">
        <v>2290</v>
      </c>
      <c r="B52" s="450"/>
      <c r="C52" s="451">
        <f ca="1">C31+C51</f>
        <v>40162</v>
      </c>
      <c r="D52" s="450"/>
      <c r="E52" s="450"/>
      <c r="F52" s="450"/>
      <c r="G52" s="452"/>
    </row>
    <row r="55" spans="1:7" ht="15">
      <c r="B55" s="453" t="s">
        <v>2291</v>
      </c>
      <c r="C55" s="454"/>
    </row>
    <row r="56" spans="1:7">
      <c r="B56" s="455" t="s">
        <v>2292</v>
      </c>
      <c r="C56" s="456">
        <f ca="1">ROUND(C51/C52,3)</f>
        <v>0.35199999999999998</v>
      </c>
    </row>
    <row r="57" spans="1:7">
      <c r="B57" s="455" t="s">
        <v>2293</v>
      </c>
      <c r="C57" s="457">
        <f ca="1">1-C56</f>
        <v>0.64800000000000002</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32" t="s">
        <v>2294</v>
      </c>
      <c r="B1" s="3832"/>
      <c r="C1" s="3832"/>
      <c r="D1" s="3832"/>
      <c r="E1" s="3832"/>
      <c r="F1" s="3832"/>
      <c r="G1" s="383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34"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35"/>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36" t="s">
        <v>2679</v>
      </c>
      <c r="B1" s="3836"/>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37" t="s">
        <v>2684</v>
      </c>
      <c r="B1" s="3837"/>
      <c r="C1" s="3837"/>
      <c r="D1" s="3837"/>
      <c r="E1" s="3837"/>
      <c r="F1" s="3838"/>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39" t="s">
        <v>2691</v>
      </c>
      <c r="S1" s="3840"/>
      <c r="T1" s="3840"/>
      <c r="U1" s="3840"/>
      <c r="V1" s="3840"/>
      <c r="W1" s="3840"/>
      <c r="X1" s="244"/>
      <c r="Y1" s="3839" t="s">
        <v>2692</v>
      </c>
      <c r="Z1" s="3840"/>
      <c r="AA1" s="3840"/>
      <c r="AB1" s="3840"/>
      <c r="AC1" s="3840"/>
      <c r="AD1" s="3840"/>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39" t="s">
        <v>2691</v>
      </c>
      <c r="S23" s="3840"/>
      <c r="T23" s="3840"/>
      <c r="U23" s="3840"/>
      <c r="V23" s="3840"/>
      <c r="W23" s="3840"/>
      <c r="X23" s="244"/>
      <c r="Y23" s="3839" t="s">
        <v>2692</v>
      </c>
      <c r="Z23" s="3840"/>
      <c r="AA23" s="3840"/>
      <c r="AB23" s="3840"/>
      <c r="AC23" s="3840"/>
      <c r="AD23" s="3840"/>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51" t="s">
        <v>2712</v>
      </c>
      <c r="C1" s="3851"/>
      <c r="D1" s="3851"/>
      <c r="E1" s="3851"/>
      <c r="F1" s="3851"/>
      <c r="G1" s="3848" t="s">
        <v>2713</v>
      </c>
      <c r="H1" s="3848"/>
      <c r="I1" s="3848"/>
      <c r="J1" s="3848"/>
      <c r="K1" s="3848"/>
      <c r="L1" s="3848"/>
      <c r="N1" s="3848" t="s">
        <v>2690</v>
      </c>
      <c r="O1" s="3848"/>
      <c r="P1" s="3848"/>
      <c r="Q1" s="3848"/>
      <c r="S1" s="3848" t="s">
        <v>2714</v>
      </c>
      <c r="T1" s="3848"/>
      <c r="U1" s="3848"/>
      <c r="V1" s="3848"/>
      <c r="X1" s="3847" t="s">
        <v>2691</v>
      </c>
      <c r="Y1" s="3848"/>
      <c r="Z1" s="3848"/>
      <c r="AA1" s="3848"/>
      <c r="AB1" s="3848"/>
      <c r="AD1" s="3847" t="s">
        <v>2692</v>
      </c>
      <c r="AE1" s="3848"/>
      <c r="AF1" s="3848"/>
      <c r="AG1" s="3848"/>
      <c r="AH1" s="3848"/>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5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4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4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5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4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4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4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4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4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4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4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4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4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4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4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4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4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4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4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4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4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4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4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4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4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4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4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4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4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4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4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4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4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4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4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4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4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4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4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4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4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4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4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4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41">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42">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42">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43">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41">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42">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42">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4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19" t="str">
        <f>IF(项目基本情况!B9="房地产市场价值","估价结果一览表","结果表-2")</f>
        <v>结果表-2</v>
      </c>
      <c r="B1" s="3519"/>
      <c r="C1" s="3519"/>
      <c r="D1" s="3519"/>
      <c r="E1" s="3519"/>
      <c r="F1" s="3519"/>
      <c r="G1" s="3519"/>
      <c r="H1" s="3519"/>
      <c r="I1" s="3519"/>
    </row>
    <row r="2" spans="1:9" ht="30" customHeight="1">
      <c r="A2" s="3520" t="s">
        <v>107</v>
      </c>
      <c r="B2" s="3520" t="s">
        <v>108</v>
      </c>
      <c r="C2" s="3520" t="s">
        <v>109</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29509.480000000025</v>
      </c>
      <c r="C4" s="3386">
        <f>项目基本情况!C18</f>
        <v>7912.64</v>
      </c>
      <c r="D4" s="3386">
        <f ca="1">结果表!D118</f>
        <v>95203</v>
      </c>
      <c r="E4" s="3386">
        <f ca="1">结果表!E118</f>
        <v>32261</v>
      </c>
      <c r="F4" s="3386">
        <f ca="1">结果表!F118</f>
        <v>13352</v>
      </c>
      <c r="G4" s="3386">
        <f ca="1">结果表!G118</f>
        <v>4525</v>
      </c>
      <c r="H4" s="3386">
        <f ca="1">结果表!H118</f>
        <v>108555</v>
      </c>
      <c r="I4" s="3386">
        <f ca="1">结果表!I118</f>
        <v>36786</v>
      </c>
    </row>
    <row r="5" spans="1:9" ht="30" customHeight="1">
      <c r="A5" s="3515" t="s">
        <v>112</v>
      </c>
      <c r="B5" s="3515"/>
      <c r="C5" s="3515"/>
      <c r="D5" s="3515" t="str">
        <f ca="1">结果表!D119</f>
        <v>玖亿伍仟贰佰零叁万元整</v>
      </c>
      <c r="E5" s="3515"/>
      <c r="F5" s="3515" t="str">
        <f ca="1">结果表!F119</f>
        <v>壹亿叁仟叁佰伍拾贰万元整</v>
      </c>
      <c r="G5" s="3515"/>
      <c r="H5" s="3515" t="str">
        <f ca="1">结果表!H119</f>
        <v>壹拾亿捌仟伍佰伍拾伍万元整</v>
      </c>
      <c r="I5" s="3515"/>
    </row>
    <row r="6" spans="1:9" ht="15.75">
      <c r="A6" s="3512" t="str">
        <f>结果表!A120</f>
        <v>估价师知悉的法定优先受偿款</v>
      </c>
      <c r="B6" s="3512"/>
      <c r="C6" s="3512"/>
      <c r="D6" s="3512">
        <f>结果表!D120</f>
        <v>0</v>
      </c>
      <c r="E6" s="3512"/>
      <c r="F6" s="3512"/>
      <c r="G6" s="3512"/>
      <c r="H6" s="3512"/>
      <c r="I6" s="3512"/>
    </row>
    <row r="7" spans="1:9" ht="15">
      <c r="A7" s="3515" t="s">
        <v>112</v>
      </c>
      <c r="B7" s="3515"/>
      <c r="C7" s="3515"/>
      <c r="D7" s="3516" t="str">
        <f>结果表!D121</f>
        <v>零元整</v>
      </c>
      <c r="E7" s="3517"/>
      <c r="F7" s="3517"/>
      <c r="G7" s="3517"/>
      <c r="H7" s="3517"/>
      <c r="I7" s="3518"/>
    </row>
    <row r="8" spans="1:9" ht="15.75">
      <c r="A8" s="3512" t="str">
        <f>结果表!A122</f>
        <v>房地产抵押价值</v>
      </c>
      <c r="B8" s="3512"/>
      <c r="C8" s="3512"/>
      <c r="D8" s="3512">
        <f ca="1">结果表!D122</f>
        <v>108555</v>
      </c>
      <c r="E8" s="3512"/>
      <c r="F8" s="3512"/>
      <c r="G8" s="3512"/>
      <c r="H8" s="3512"/>
      <c r="I8" s="3512"/>
    </row>
    <row r="9" spans="1:9" ht="15">
      <c r="A9" s="3515" t="s">
        <v>112</v>
      </c>
      <c r="B9" s="3515"/>
      <c r="C9" s="3515"/>
      <c r="D9" s="3515" t="str">
        <f ca="1">结果表!D123</f>
        <v>壹拾亿捌仟伍佰伍拾伍万元整</v>
      </c>
      <c r="E9" s="3515"/>
      <c r="F9" s="3515"/>
      <c r="G9" s="3515"/>
      <c r="H9" s="3515"/>
      <c r="I9" s="3515"/>
    </row>
    <row r="10" spans="1:9" ht="15.75">
      <c r="A10" s="3512" t="str">
        <f>结果表!A124</f>
        <v/>
      </c>
      <c r="B10" s="3512"/>
      <c r="C10" s="3512"/>
      <c r="D10" s="3512" t="str">
        <f>结果表!D124</f>
        <v>——</v>
      </c>
      <c r="E10" s="3512"/>
      <c r="F10" s="3512"/>
      <c r="G10" s="3512"/>
      <c r="H10" s="3512"/>
      <c r="I10" s="3512"/>
    </row>
    <row r="11" spans="1:9" ht="15">
      <c r="A11" s="3515" t="s">
        <v>112</v>
      </c>
      <c r="B11" s="3515"/>
      <c r="C11" s="3515"/>
      <c r="D11" s="3515" t="e">
        <f>结果表!D125</f>
        <v>#VALUE!</v>
      </c>
      <c r="E11" s="3515"/>
      <c r="F11" s="3515"/>
      <c r="G11" s="3515"/>
      <c r="H11" s="3515"/>
      <c r="I11" s="3515"/>
    </row>
    <row r="12" spans="1:9" ht="15.75">
      <c r="A12" s="3512" t="str">
        <f>结果表!A126</f>
        <v/>
      </c>
      <c r="B12" s="3512"/>
      <c r="C12" s="3512"/>
      <c r="D12" s="3512" t="str">
        <f>结果表!D126</f>
        <v>——</v>
      </c>
      <c r="E12" s="3512"/>
      <c r="F12" s="3512"/>
      <c r="G12" s="3512"/>
      <c r="H12" s="3512"/>
      <c r="I12" s="3512"/>
    </row>
    <row r="13" spans="1:9" ht="15">
      <c r="A13" s="3513" t="s">
        <v>112</v>
      </c>
      <c r="B13" s="3513"/>
      <c r="C13" s="3513"/>
      <c r="D13" s="3513" t="e">
        <f>结果表!D127</f>
        <v>#VALUE!</v>
      </c>
      <c r="E13" s="3513"/>
      <c r="F13" s="3513"/>
      <c r="G13" s="3513"/>
      <c r="H13" s="3513"/>
      <c r="I13" s="3513"/>
    </row>
    <row r="14" spans="1:9">
      <c r="A14" s="3514" t="s">
        <v>113</v>
      </c>
      <c r="B14" s="3514"/>
      <c r="C14" s="3514"/>
      <c r="D14" s="3514"/>
      <c r="E14" s="3514"/>
      <c r="F14" s="3514"/>
      <c r="G14" s="3514"/>
      <c r="H14" s="3514"/>
      <c r="I14" s="3514"/>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27" t="s">
        <v>114</v>
      </c>
      <c r="B1" s="3527"/>
      <c r="C1" s="3527"/>
      <c r="D1" s="3527"/>
    </row>
    <row r="2" spans="1:4" ht="18">
      <c r="A2" s="3528" t="s">
        <v>115</v>
      </c>
      <c r="B2" s="3528"/>
      <c r="C2" s="3528"/>
      <c r="D2" s="3528"/>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28" t="s">
        <v>121</v>
      </c>
      <c r="B6" s="3528"/>
      <c r="C6" s="3528"/>
      <c r="D6" s="3528"/>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29" t="s">
        <v>126</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2" t="str">
        <f>IF(项目基本情况!B8="抵押","4.本次评估估价师所知悉的法定优先受偿款情况说明如下：","——")</f>
        <v>4.本次评估估价师所知悉的法定优先受偿款情况说明如下：</v>
      </c>
      <c r="B14" s="3525"/>
      <c r="C14" s="3525"/>
      <c r="D14" s="3525"/>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6" t="s">
        <v>127</v>
      </c>
      <c r="B16" s="3526"/>
      <c r="C16" s="3526"/>
      <c r="D16" s="3526"/>
    </row>
    <row r="17" spans="1:4" ht="144" customHeight="1">
      <c r="A17" s="3526" t="s">
        <v>128</v>
      </c>
      <c r="B17" s="3526"/>
      <c r="C17" s="3526"/>
      <c r="D17" s="3526"/>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129</v>
      </c>
      <c r="B22" s="3524"/>
      <c r="C22" s="3524"/>
      <c r="D22" s="3524"/>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32" t="s">
        <v>146</v>
      </c>
      <c r="B15" s="3537" t="s">
        <v>147</v>
      </c>
      <c r="C15" s="3531"/>
    </row>
    <row r="16" spans="1:7" ht="13.5">
      <c r="A16" s="3533"/>
      <c r="B16" s="3537" t="s">
        <v>148</v>
      </c>
      <c r="C16" s="3531"/>
    </row>
    <row r="17" spans="1:3" ht="13.5">
      <c r="A17" s="3533"/>
      <c r="B17" s="3536" t="s">
        <v>149</v>
      </c>
      <c r="C17" s="3363" t="s">
        <v>146</v>
      </c>
    </row>
    <row r="18" spans="1:3" ht="13.5">
      <c r="A18" s="3533"/>
      <c r="B18" s="3536"/>
      <c r="C18" s="3363" t="s">
        <v>150</v>
      </c>
    </row>
    <row r="19" spans="1:3" ht="13.5">
      <c r="A19" s="3533"/>
      <c r="B19" s="3536"/>
      <c r="C19" s="3363" t="s">
        <v>151</v>
      </c>
    </row>
    <row r="20" spans="1:3" ht="13.5">
      <c r="A20" s="3534"/>
      <c r="B20" s="3530" t="s">
        <v>152</v>
      </c>
      <c r="C20" s="3531"/>
    </row>
    <row r="21" spans="1:3" ht="13.5">
      <c r="A21" s="3364" t="s">
        <v>153</v>
      </c>
      <c r="B21" s="3365"/>
      <c r="C21" s="3366"/>
    </row>
    <row r="22" spans="1:3" ht="13.5">
      <c r="A22" s="3535" t="s">
        <v>154</v>
      </c>
      <c r="B22" s="3530" t="s">
        <v>155</v>
      </c>
      <c r="C22" s="3531"/>
    </row>
    <row r="23" spans="1:3" ht="13.5">
      <c r="A23" s="3535"/>
      <c r="B23" s="3530" t="s">
        <v>156</v>
      </c>
      <c r="C23" s="3531"/>
    </row>
    <row r="24" spans="1:3" ht="13.5">
      <c r="A24" s="3535"/>
      <c r="B24" s="3530" t="s">
        <v>157</v>
      </c>
      <c r="C24" s="3531"/>
    </row>
    <row r="25" spans="1:3" ht="13.5">
      <c r="A25" s="3535"/>
      <c r="B25" s="3536" t="s">
        <v>158</v>
      </c>
      <c r="C25" s="3363" t="s">
        <v>159</v>
      </c>
    </row>
    <row r="26" spans="1:3" ht="13.5">
      <c r="A26" s="3535"/>
      <c r="B26" s="3536"/>
      <c r="C26" s="3363" t="s">
        <v>160</v>
      </c>
    </row>
    <row r="27" spans="1:3" ht="13.5">
      <c r="A27" s="3535"/>
      <c r="B27" s="3536"/>
      <c r="C27" s="3363" t="s">
        <v>161</v>
      </c>
    </row>
    <row r="28" spans="1:3" ht="13.5">
      <c r="A28" s="3535"/>
      <c r="B28" s="3536"/>
      <c r="C28" s="3363" t="s">
        <v>162</v>
      </c>
    </row>
    <row r="29" spans="1:3" ht="13.5">
      <c r="A29" s="3535"/>
      <c r="B29" s="3536"/>
      <c r="C29" s="3363" t="s">
        <v>163</v>
      </c>
    </row>
    <row r="30" spans="1:3" ht="13.5">
      <c r="A30" s="3535"/>
      <c r="B30" s="3536"/>
      <c r="C30" s="3363" t="s">
        <v>164</v>
      </c>
    </row>
    <row r="31" spans="1:3" ht="13.5">
      <c r="A31" s="3535"/>
      <c r="B31" s="3536"/>
      <c r="C31" s="3363" t="s">
        <v>165</v>
      </c>
    </row>
    <row r="32" spans="1:3" ht="13.5">
      <c r="A32" s="3535"/>
      <c r="B32" s="3536"/>
      <c r="C32" s="3363" t="s">
        <v>166</v>
      </c>
    </row>
    <row r="33" spans="1:3" ht="13.5">
      <c r="A33" s="3535"/>
      <c r="B33" s="3536"/>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45460</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38" t="s">
        <v>197</v>
      </c>
      <c r="B17" s="3538"/>
      <c r="C17" s="3538"/>
      <c r="D17" s="3538"/>
      <c r="E17" s="3538"/>
      <c r="F17" s="3538"/>
      <c r="G17" s="3538"/>
      <c r="H17" s="3538"/>
    </row>
    <row r="18" spans="1:8" ht="24" customHeight="1">
      <c r="A18" s="3539" t="s">
        <v>198</v>
      </c>
      <c r="B18" s="3539"/>
      <c r="C18" s="3539"/>
      <c r="D18" s="3330"/>
      <c r="E18" s="3540" t="s">
        <v>199</v>
      </c>
      <c r="F18" s="3539"/>
      <c r="G18" s="3539"/>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2024-06-17T07:18:09Z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