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比较法-住宅" sheetId="21" state="hidden" r:id="rId26"/>
    <sheet name="收益法(车位)" sheetId="80"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收益法（汇总）" sheetId="7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'收益法(车位)'!$A$1:$F$43,'收益法(车位)'!$H$3:$M$29,'收益法(车位)'!$A$46:$F$71,'收益法(车位)'!$I$46:$N$65</definedName>
    <definedName name="_xlnm.Print_Area" localSheetId="39">'收益法（汇总）'!$A$1:$F$13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1" i="6" l="1"/>
  <c r="I37" i="34" l="1"/>
  <c r="G37" i="34"/>
  <c r="E37" i="34"/>
  <c r="C37" i="34"/>
  <c r="I7" i="34"/>
  <c r="G7" i="34"/>
  <c r="E7" i="34"/>
  <c r="L14" i="1" l="1"/>
  <c r="L7" i="1"/>
  <c r="Y7" i="1"/>
  <c r="P74" i="80"/>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G20" i="6"/>
  <c r="G19" i="6"/>
  <c r="M13" i="3"/>
  <c r="AH7" i="1"/>
  <c r="Y6" i="1"/>
  <c r="D42" i="43"/>
  <c r="G44" i="43"/>
  <c r="G51" i="43"/>
  <c r="G52" i="43"/>
  <c r="G53" i="43"/>
  <c r="G54" i="43"/>
  <c r="G55" i="43"/>
  <c r="G56" i="43"/>
  <c r="G57" i="43"/>
  <c r="G58" i="43"/>
  <c r="G50" i="43"/>
  <c r="N7" i="1"/>
  <c r="N6" i="1"/>
  <c r="B55" i="1"/>
  <c r="B21" i="1"/>
  <c r="F19" i="6"/>
  <c r="F8" i="80"/>
  <c r="C76" i="80"/>
  <c r="F9" i="80"/>
  <c r="F7" i="80"/>
  <c r="Q71" i="80" l="1"/>
  <c r="F50" i="80"/>
  <c r="M7" i="80"/>
  <c r="F51" i="80"/>
  <c r="C49" i="80" s="1"/>
  <c r="E8" i="1"/>
  <c r="E9" i="1"/>
  <c r="E10" i="1"/>
  <c r="E11" i="1"/>
  <c r="E12" i="1"/>
  <c r="E13" i="1"/>
  <c r="M8" i="80"/>
  <c r="J15" i="80"/>
  <c r="M27" i="80"/>
  <c r="F38" i="80"/>
  <c r="F42" i="80"/>
  <c r="M6" i="80"/>
  <c r="F16" i="80"/>
  <c r="M26" i="80"/>
  <c r="F37" i="80"/>
  <c r="M24" i="80"/>
  <c r="F43" i="80"/>
  <c r="F6" i="80"/>
  <c r="F13" i="80"/>
  <c r="F26" i="80"/>
  <c r="F36" i="80"/>
  <c r="M28" i="80"/>
  <c r="L47" i="80"/>
  <c r="M9" i="80"/>
  <c r="M23" i="80"/>
  <c r="M29" i="80"/>
  <c r="M22" i="80"/>
  <c r="F40" i="80"/>
  <c r="L48" i="80"/>
  <c r="L57" i="80" l="1"/>
  <c r="L56" i="80"/>
  <c r="J60" i="80"/>
  <c r="Q48" i="80" s="1"/>
  <c r="I54" i="80"/>
  <c r="L60" i="80"/>
  <c r="J59" i="80"/>
  <c r="J53" i="80"/>
  <c r="J57" i="80"/>
  <c r="J55" i="80" s="1"/>
  <c r="J58" i="80" s="1"/>
  <c r="Q50" i="80" s="1"/>
  <c r="F71" i="80"/>
  <c r="F68" i="80"/>
  <c r="F65" i="80"/>
  <c r="J6" i="80"/>
  <c r="N59" i="80"/>
  <c r="L59" i="80"/>
  <c r="L58" i="80"/>
  <c r="M59" i="80"/>
  <c r="F66" i="80"/>
  <c r="F64" i="80"/>
  <c r="C27" i="80"/>
  <c r="C6" i="80"/>
  <c r="C61" i="80"/>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C17" i="80"/>
  <c r="L46" i="80" l="1"/>
  <c r="C33" i="80"/>
  <c r="C32" i="80"/>
  <c r="Q61" i="80"/>
  <c r="Q74" i="80"/>
  <c r="J19" i="80"/>
  <c r="J18" i="80"/>
  <c r="F1" i="80"/>
  <c r="Q52" i="80"/>
  <c r="Q66" i="80"/>
  <c r="Q57" i="80"/>
  <c r="Q60" i="80"/>
  <c r="Q73" i="80"/>
  <c r="T5"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M22" i="67"/>
  <c r="F40" i="67"/>
  <c r="M26" i="67"/>
  <c r="F6" i="67"/>
  <c r="L47" i="67"/>
  <c r="F42" i="67"/>
  <c r="F5" i="73"/>
  <c r="M6" i="15"/>
  <c r="B8" i="76"/>
  <c r="F42" i="15"/>
  <c r="E2" i="68"/>
  <c r="J15" i="15"/>
  <c r="F26" i="15"/>
  <c r="M23" i="67"/>
  <c r="M8" i="15"/>
  <c r="B11" i="76"/>
  <c r="F16" i="15"/>
  <c r="E12" i="76"/>
  <c r="C76" i="67"/>
  <c r="M22" i="15"/>
  <c r="M9" i="67"/>
  <c r="F37" i="67"/>
  <c r="E7" i="76"/>
  <c r="F43" i="15"/>
  <c r="F37" i="15"/>
  <c r="E13" i="76"/>
  <c r="L48" i="15"/>
  <c r="M8" i="67"/>
  <c r="B9" i="76"/>
  <c r="F8" i="15"/>
  <c r="F9" i="15"/>
  <c r="D3" i="73"/>
  <c r="B12" i="76"/>
  <c r="F40" i="15"/>
  <c r="L48" i="67"/>
  <c r="F36" i="15"/>
  <c r="F6" i="73"/>
  <c r="F6" i="15"/>
  <c r="F13" i="67"/>
  <c r="F13" i="15"/>
  <c r="F38" i="67"/>
  <c r="L47" i="15"/>
  <c r="C16" i="80"/>
  <c r="F43" i="67"/>
  <c r="AO13" i="1"/>
  <c r="M24" i="15"/>
  <c r="F26" i="67"/>
  <c r="M28" i="67"/>
  <c r="D6" i="73"/>
  <c r="C76" i="15"/>
  <c r="M23" i="15"/>
  <c r="J15" i="67"/>
  <c r="E8" i="76"/>
  <c r="E10" i="76"/>
  <c r="F36" i="67"/>
  <c r="M29" i="15"/>
  <c r="D4" i="73"/>
  <c r="F3" i="73"/>
  <c r="D34" i="9"/>
  <c r="D5" i="73"/>
  <c r="F38" i="15"/>
  <c r="B13" i="76"/>
  <c r="F7" i="15"/>
  <c r="F8" i="67"/>
  <c r="B10" i="76"/>
  <c r="D35" i="9"/>
  <c r="E9" i="76"/>
  <c r="M6" i="67"/>
  <c r="F9" i="67"/>
  <c r="F7" i="67"/>
  <c r="B7" i="76"/>
  <c r="M28" i="15"/>
  <c r="F7" i="73"/>
  <c r="M24" i="67"/>
  <c r="F16" i="67"/>
  <c r="M26" i="15"/>
  <c r="F20" i="31"/>
  <c r="D7" i="73"/>
  <c r="M29" i="67"/>
  <c r="M9" i="15"/>
  <c r="E2" i="69"/>
  <c r="F4" i="73"/>
  <c r="O7" i="1" l="1"/>
  <c r="P7" i="1" s="1"/>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F11" i="80" l="1"/>
  <c r="M11" i="80"/>
  <c r="J10" i="80" s="1"/>
  <c r="J5" i="80"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AE6" i="1"/>
  <c r="AE7" i="1"/>
  <c r="J26" i="80" l="1"/>
  <c r="J24" i="80"/>
  <c r="L36" i="43"/>
  <c r="L37" i="43" s="1"/>
  <c r="F24" i="80"/>
  <c r="C53" i="80"/>
  <c r="C48" i="80" s="1"/>
  <c r="C10" i="80"/>
  <c r="C5" i="80" s="1"/>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0"/>
  <c r="M27" i="67"/>
  <c r="M27" i="15"/>
  <c r="F41" i="15"/>
  <c r="G54" i="34" l="1"/>
  <c r="H54" i="34" s="1"/>
  <c r="F69" i="80"/>
  <c r="Q36" i="43"/>
  <c r="J29" i="80"/>
  <c r="M36" i="43"/>
  <c r="P36" i="43"/>
  <c r="O36" i="43"/>
  <c r="N36" i="43"/>
  <c r="C38" i="80"/>
  <c r="C24" i="80"/>
  <c r="C66" i="80"/>
  <c r="C60" i="80"/>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0"/>
  <c r="E6" i="76"/>
  <c r="B6" i="76"/>
  <c r="C14" i="15"/>
  <c r="C15" i="80" l="1"/>
  <c r="C18" i="80"/>
  <c r="B3" i="43"/>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19" i="80" l="1"/>
  <c r="C20" i="80" s="1"/>
  <c r="C26" i="80" s="1"/>
  <c r="C5" i="68"/>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0" l="1"/>
  <c r="C29" i="80" s="1"/>
  <c r="C20" i="68"/>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0"/>
  <c r="F35" i="67"/>
  <c r="M21" i="15"/>
  <c r="M21" i="80"/>
  <c r="M21" i="67"/>
  <c r="F35" i="15"/>
  <c r="C36" i="80" l="1"/>
  <c r="Q49" i="80"/>
  <c r="C57" i="80"/>
  <c r="C64" i="80" s="1"/>
  <c r="J14" i="80"/>
  <c r="C13" i="80"/>
  <c r="C25" i="68"/>
  <c r="C22" i="68" s="1"/>
  <c r="C31" i="68" s="1"/>
  <c r="J20" i="80"/>
  <c r="J17" i="80" s="1"/>
  <c r="F63" i="80"/>
  <c r="C62" i="80" s="1"/>
  <c r="C59" i="80" s="1"/>
  <c r="C34" i="80"/>
  <c r="C31" i="80"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3" i="80" l="1"/>
  <c r="J23" i="80" s="1"/>
  <c r="J22" i="80"/>
  <c r="C75" i="80"/>
  <c r="C37" i="80"/>
  <c r="C30" i="80" s="1"/>
  <c r="C39" i="80" s="1"/>
  <c r="Q70" i="80"/>
  <c r="C56" i="80"/>
  <c r="C65" i="80" s="1"/>
  <c r="C58" i="80" s="1"/>
  <c r="C67" i="80" s="1"/>
  <c r="C68" i="80" s="1"/>
  <c r="C71" i="80" s="1"/>
  <c r="C52" i="68"/>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L51" i="80"/>
  <c r="D2" i="21"/>
  <c r="C19" i="9"/>
  <c r="L51" i="67"/>
  <c r="J16" i="80" l="1"/>
  <c r="J25" i="80" s="1"/>
  <c r="Q69" i="80"/>
  <c r="Q68" i="80" s="1"/>
  <c r="C80" i="80"/>
  <c r="C79" i="80" s="1"/>
  <c r="C40" i="80"/>
  <c r="C46" i="80" s="1"/>
  <c r="C57" i="68"/>
  <c r="C56" i="68" s="1"/>
  <c r="C21" i="9"/>
  <c r="C102" i="9"/>
  <c r="Q67" i="80"/>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83" i="80" l="1"/>
  <c r="C82" i="80" s="1"/>
  <c r="Q56" i="80"/>
  <c r="Q62" i="80" s="1"/>
  <c r="C43" i="80"/>
  <c r="B2" i="80"/>
  <c r="B3" i="80" s="1"/>
  <c r="Q65" i="80"/>
  <c r="Q75" i="80" s="1"/>
  <c r="Q47" i="80"/>
  <c r="Q53" i="80"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4"/>
  <c r="L51" i="15"/>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9" i="1"/>
  <c r="AO10" i="1"/>
  <c r="AO11" i="1"/>
  <c r="AO8" i="1"/>
  <c r="AO6"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D28"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H4" i="52"/>
  <c r="C104" i="9"/>
  <c r="N60" i="9"/>
  <c r="N61" i="9"/>
  <c r="I4" i="52"/>
  <c r="C105" i="9"/>
  <c r="N58" i="9"/>
  <c r="P57" i="9"/>
  <c r="B52" i="72"/>
  <c r="N59" i="9"/>
  <c r="D8" i="52"/>
  <c r="M54" i="9"/>
  <c r="E81" i="9"/>
  <c r="B30" i="72"/>
  <c r="B20" i="72"/>
  <c r="L68" i="9"/>
  <c r="M68" i="9"/>
  <c r="M48" i="9"/>
  <c r="E97" i="9"/>
  <c r="B51" i="72"/>
  <c r="C81" i="9"/>
  <c r="N69" i="9"/>
  <c r="L65" i="9"/>
  <c r="M65" i="9"/>
  <c r="C78" i="9"/>
  <c r="C73" i="9"/>
  <c r="C6" i="74"/>
  <c r="D56" i="9"/>
  <c r="B21" i="72"/>
  <c r="B47" i="72"/>
  <c r="H119" i="9"/>
  <c r="H5" i="52"/>
  <c r="G4" i="52"/>
  <c r="L63" i="9"/>
  <c r="M63" i="9"/>
  <c r="M69" i="9"/>
  <c r="F4" i="52"/>
  <c r="L64" i="9"/>
  <c r="M64" i="9"/>
  <c r="D5" i="53"/>
  <c r="D6" i="53"/>
  <c r="B22" i="72"/>
  <c r="L67" i="9"/>
  <c r="M67" i="9"/>
  <c r="C93" i="9"/>
  <c r="C86" i="9"/>
  <c r="C5" i="74"/>
  <c r="H102" i="9"/>
  <c r="D7" i="53"/>
  <c r="E4" i="52"/>
  <c r="B48" i="72"/>
  <c r="L66" i="9"/>
  <c r="M66" i="9"/>
  <c r="D59" i="9"/>
  <c r="M55" i="9"/>
  <c r="C72" i="9"/>
  <c r="C79" i="9"/>
  <c r="C80" i="9"/>
  <c r="E80" i="9"/>
  <c r="D15" i="53"/>
  <c r="B31" i="72"/>
  <c r="C96" i="9"/>
  <c r="E96" i="9"/>
  <c r="B53" i="72"/>
  <c r="C64" i="9"/>
  <c r="C63" i="9"/>
  <c r="C67" i="9"/>
  <c r="C68" i="9"/>
  <c r="D54" i="9"/>
  <c r="H108" i="9"/>
  <c r="M49" i="9"/>
  <c r="D4" i="52"/>
  <c r="E118" i="9"/>
  <c r="D118" i="9"/>
  <c r="D119" i="9"/>
  <c r="D5" i="52"/>
  <c r="B49" i="72"/>
  <c r="D122" i="9"/>
  <c r="D123" i="9"/>
  <c r="D9" i="52"/>
  <c r="H107" i="9"/>
  <c r="D13" i="53"/>
  <c r="D14" i="53"/>
  <c r="B32" i="72"/>
  <c r="G118" i="9"/>
  <c r="F118" i="9"/>
  <c r="F119" i="9"/>
  <c r="F5" i="52"/>
  <c r="C97" i="9"/>
  <c r="D58" i="9"/>
  <c r="C85" i="9"/>
  <c r="C95"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<sst xmlns="http://schemas.openxmlformats.org/spreadsheetml/2006/main" count="8235" uniqueCount="3419">
  <si>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</si>
  <si>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</si>
  <si>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</si>
  <si>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</si>
  <si>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</si>
  <si>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</si>
  <si>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</si>
  <si>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</si>
  <si>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</si>
  <si>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</si>
  <si>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</si>
  <si>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</si>
  <si>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</si>
  <si>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</si>
  <si>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</si>
  <si>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</si>
  <si>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</si>
  <si>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</si>
  <si>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</si>
  <si>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</si>
  <si>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</si>
  <si>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</si>
  <si>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</si>
  <si>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</si>
  <si>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</si>
  <si>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</si>
  <si>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</si>
  <si>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</si>
  <si>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</si>
  <si>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</si>
  <si>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</si>
  <si>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</si>
  <si>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</si>
  <si>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</si>
  <si>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</si>
  <si>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</si>
  <si>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</si>
  <si>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</si>
  <si>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</si>
  <si>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</si>
  <si>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</si>
  <si>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</si>
  <si>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</si>
  <si>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</si>
  <si>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</si>
  <si>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</si>
  <si>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</si>
  <si>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</si>
  <si>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</si>
  <si>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</si>
  <si>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</si>
  <si>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</si>
  <si>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</si>
  <si>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</si>
  <si>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</si>
  <si>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</si>
  <si>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</si>
  <si>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</si>
  <si>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</si>
  <si>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</si>
  <si>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</si>
  <si>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</si>
  <si>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</si>
  <si>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</si>
  <si>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</si>
  <si>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</si>
  <si>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</si>
  <si>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</si>
  <si>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</si>
  <si>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</si>
  <si>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</si>
  <si>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</si>
  <si>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</si>
  <si>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</si>
  <si>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</si>
  <si>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</si>
  <si>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</si>
  <si>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</si>
  <si>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</si>
  <si>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</si>
  <si>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</si>
  <si>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</si>
  <si>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</si>
  <si>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</si>
  <si>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</si>
  <si>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</si>
  <si>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</si>
  <si>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</si>
  <si>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</si>
  <si>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</si>
  <si>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</si>
  <si>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</si>
  <si>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</si>
  <si>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</si>
  <si>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</si>
  <si>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</si>
  <si>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</si>
  <si>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</si>
  <si>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</si>
  <si>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</si>
  <si>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</si>
  <si>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</si>
  <si>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</si>
  <si>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</si>
  <si>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</si>
  <si>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</si>
  <si>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</si>
  <si>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</si>
  <si>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</si>
  <si>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</si>
  <si>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</si>
  <si>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</si>
  <si>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</si>
  <si>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</si>
  <si>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</si>
  <si>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</si>
  <si>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</si>
  <si>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</si>
  <si>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</si>
  <si>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</si>
  <si>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</si>
  <si>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</si>
  <si>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</si>
  <si>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</si>
  <si>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</si>
  <si>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</si>
  <si>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</si>
  <si>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</si>
  <si>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</si>
  <si>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</si>
  <si>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</si>
  <si>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</si>
  <si>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</si>
  <si>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</si>
  <si>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</si>
  <si>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</si>
  <si>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</si>
  <si>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</si>
  <si>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</si>
  <si>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</si>
  <si>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</si>
  <si>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</si>
  <si>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</si>
  <si>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</si>
  <si>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</si>
  <si>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</si>
  <si>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</si>
  <si>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</si>
  <si>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</si>
  <si>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</si>
  <si>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</si>
  <si>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</si>
  <si>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</si>
  <si>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</si>
  <si>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</si>
  <si>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</si>
  <si>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</si>
  <si>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</si>
  <si>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</si>
  <si>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</si>
  <si>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</si>
  <si>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</si>
  <si>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</si>
  <si>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</si>
  <si>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</si>
  <si>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</si>
  <si>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</si>
  <si>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</si>
  <si>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</si>
  <si>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</si>
  <si>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</si>
  <si>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</si>
  <si>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</si>
  <si>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</si>
  <si>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</si>
  <si>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</si>
  <si>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</si>
  <si>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</si>
  <si>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</si>
  <si>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</si>
  <si>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</si>
  <si>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</si>
  <si>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</si>
  <si>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</si>
  <si>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</si>
  <si>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</si>
  <si>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</si>
  <si>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</si>
  <si>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</si>
  <si>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</si>
  <si>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</si>
  <si>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</si>
  <si>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</si>
  <si>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</si>
  <si>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</si>
  <si>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</si>
  <si>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</si>
  <si>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</si>
  <si>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</si>
  <si>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</si>
  <si>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</si>
  <si>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</si>
  <si>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</si>
  <si>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</si>
  <si>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</si>
  <si>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</si>
  <si>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</si>
  <si>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</si>
  <si>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</si>
  <si>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</si>
  <si>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</si>
  <si>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</si>
  <si>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</si>
  <si>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</si>
  <si>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</si>
  <si>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</si>
  <si>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</si>
  <si>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</si>
  <si>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</si>
  <si>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</si>
  <si>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</si>
  <si>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</si>
  <si>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</si>
  <si>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</si>
  <si>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</si>
  <si>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</si>
  <si>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</si>
  <si>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</si>
  <si>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</si>
  <si>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</si>
  <si>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</si>
  <si>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</si>
  <si>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</si>
  <si>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</si>
  <si>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</si>
  <si>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</si>
  <si>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</si>
  <si>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</si>
  <si>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</si>
  <si>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</si>
  <si>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</si>
  <si>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</si>
  <si>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</si>
  <si>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</si>
  <si>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</si>
  <si>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</si>
  <si>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</si>
  <si>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</si>
  <si>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</si>
  <si>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</si>
  <si>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</si>
  <si>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</si>
  <si>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</si>
  <si>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</si>
  <si>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</si>
  <si>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</si>
  <si>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</si>
  <si>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</si>
  <si>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</si>
  <si>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</si>
  <si>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</si>
  <si>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</si>
  <si>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</si>
  <si>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</si>
  <si>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</si>
  <si>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</si>
  <si>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</si>
  <si>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</si>
  <si>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</si>
  <si>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</si>
  <si>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</si>
  <si>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</si>
  <si>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</si>
  <si>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</si>
  <si>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</si>
  <si>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</si>
  <si>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</si>
  <si>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</si>
  <si>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</si>
  <si>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</si>
  <si>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</si>
  <si>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</si>
  <si>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</si>
  <si>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</si>
  <si>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</si>
  <si>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</si>
  <si>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</si>
  <si>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</si>
  <si>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</si>
  <si>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</si>
  <si>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</si>
  <si>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</si>
  <si>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</si>
  <si>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</si>
  <si>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</si>
  <si>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</si>
  <si>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</si>
  <si>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</si>
  <si>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</si>
  <si>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</si>
  <si>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</si>
  <si>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</si>
  <si>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</si>
  <si>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</si>
  <si>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</si>
  <si>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</si>
  <si>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</si>
  <si>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</si>
  <si>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</si>
  <si>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</si>
  <si>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</si>
  <si>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</si>
  <si>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</si>
  <si>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</si>
  <si>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</si>
  <si>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</si>
  <si>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</si>
  <si>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</si>
  <si>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</si>
  <si>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</si>
  <si>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</si>
  <si>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</si>
  <si>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</si>
  <si>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</si>
  <si>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</si>
  <si>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</si>
  <si>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</si>
  <si>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</si>
  <si>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</si>
  <si>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</si>
  <si>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</si>
  <si>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</si>
  <si>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</si>
  <si>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</si>
  <si>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</si>
  <si>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</si>
  <si>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</si>
  <si>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</si>
  <si>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</si>
  <si>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</si>
  <si>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</si>
  <si>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</si>
  <si>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</si>
  <si>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</si>
  <si>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</si>
  <si>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</si>
  <si>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</si>
  <si>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</si>
  <si>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</si>
  <si>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</si>
  <si>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</si>
  <si>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</si>
  <si>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</si>
  <si>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</si>
  <si>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</si>
  <si>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</si>
  <si>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</si>
  <si>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</si>
  <si>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</si>
  <si>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</si>
  <si>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</si>
  <si>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</si>
  <si>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</si>
  <si>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</si>
  <si>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</si>
  <si>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</si>
  <si>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</si>
  <si>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</si>
  <si>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</si>
  <si>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</si>
  <si>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</si>
  <si>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</si>
  <si>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</si>
  <si>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</si>
  <si>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</si>
  <si>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</si>
  <si>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</si>
  <si>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</si>
  <si>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</si>
  <si>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</si>
  <si>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</si>
  <si>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</si>
  <si>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</si>
  <si>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</si>
  <si>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</si>
  <si>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</si>
  <si>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</si>
  <si>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</si>
  <si>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</si>
  <si>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</si>
  <si>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</si>
  <si>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</si>
  <si>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</si>
  <si>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</si>
  <si>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</si>
  <si>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</si>
  <si>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</si>
  <si>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</si>
  <si>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</si>
  <si>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</si>
  <si>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</si>
  <si>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</si>
  <si>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</si>
  <si>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</si>
  <si>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</si>
  <si>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</si>
  <si>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</si>
  <si>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</si>
  <si>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</si>
  <si>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</si>
  <si>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</si>
  <si>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</si>
  <si>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</si>
  <si>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</si>
  <si>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</si>
  <si>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</si>
  <si>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</si>
  <si>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</si>
  <si>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</si>
  <si>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</si>
  <si>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</si>
  <si>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</si>
  <si>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</si>
  <si>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</si>
  <si>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</si>
  <si>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</si>
  <si>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</si>
  <si>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</si>
  <si>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</si>
  <si>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</si>
  <si>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</si>
  <si>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</si>
  <si>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</si>
  <si>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</si>
  <si>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</si>
  <si>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</si>
  <si>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</si>
  <si>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</si>
  <si>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</si>
  <si>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</si>
  <si>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</si>
  <si>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</si>
  <si>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</si>
  <si>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</si>
  <si>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</si>
  <si>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</si>
  <si>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</si>
  <si>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</si>
  <si>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</si>
  <si>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</si>
  <si>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</si>
  <si>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</si>
  <si>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</si>
  <si>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</si>
  <si>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</si>
  <si>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</si>
  <si>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</si>
  <si>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</si>
  <si>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</si>
  <si>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</si>
  <si>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</si>
  <si>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</si>
  <si>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</si>
  <si>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</si>
  <si>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</si>
  <si>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</si>
  <si>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</si>
  <si>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</si>
  <si>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</si>
  <si>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</si>
  <si>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</si>
  <si>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</si>
  <si>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</si>
  <si>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</si>
  <si>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</si>
  <si>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</si>
  <si>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</si>
  <si>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</si>
  <si>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</si>
  <si>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</si>
  <si>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</si>
  <si>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</si>
  <si>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</si>
  <si>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</si>
  <si>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</si>
  <si>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</si>
  <si>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</si>
  <si>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</si>
  <si>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</si>
  <si>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</si>
  <si>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</si>
  <si>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</si>
  <si>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</si>
  <si>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</si>
  <si>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</si>
  <si>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</si>
  <si>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</si>
  <si>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</si>
  <si>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</si>
  <si>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</si>
  <si>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</si>
  <si>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</si>
  <si>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</si>
  <si>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</si>
  <si>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</si>
  <si>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</si>
  <si>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</si>
  <si>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</si>
  <si>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</si>
  <si>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</si>
  <si>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</si>
  <si>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</si>
  <si>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</si>
  <si>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</si>
  <si>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</si>
  <si>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</si>
  <si>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</si>
  <si>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</si>
  <si>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</si>
  <si>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</si>
  <si>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</si>
  <si>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</si>
  <si>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</si>
  <si>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</si>
  <si>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</si>
  <si>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</si>
  <si>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</si>
  <si>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</si>
  <si>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</si>
  <si>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</si>
  <si>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</si>
  <si>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</si>
  <si>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</si>
  <si>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</si>
  <si>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</si>
  <si>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</si>
  <si>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</si>
  <si>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</si>
  <si>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</si>
  <si>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</si>
  <si>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</si>
  <si>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</si>
  <si>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</si>
  <si>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</si>
  <si>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</si>
  <si>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</si>
  <si>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</si>
  <si>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</si>
  <si>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</si>
  <si>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</si>
  <si>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</si>
  <si>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</si>
  <si>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</si>
  <si>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</si>
  <si>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</si>
  <si>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</si>
  <si>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</si>
  <si>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</si>
  <si>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</si>
  <si>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</si>
  <si>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</si>
  <si>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</si>
  <si>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</si>
  <si>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</si>
  <si>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</si>
  <si>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</si>
  <si>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</si>
  <si>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</si>
  <si>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</si>
  <si>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</si>
  <si>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</si>
  <si>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</si>
  <si>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</si>
  <si>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</si>
  <si>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</si>
  <si>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</si>
  <si>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</si>
  <si>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</si>
  <si>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</si>
  <si>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</si>
  <si>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</si>
  <si>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</si>
  <si>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</si>
  <si>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</si>
  <si>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</si>
  <si>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</si>
  <si>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</si>
  <si>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</si>
  <si>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</si>
  <si>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</si>
  <si>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</si>
  <si>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</si>
  <si>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</si>
  <si>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</si>
  <si>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</si>
  <si>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</si>
  <si>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</si>
  <si>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</si>
  <si>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</si>
  <si>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</si>
  <si>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</si>
  <si>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</si>
  <si>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</si>
  <si>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</si>
  <si>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</si>
  <si>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</si>
  <si>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</si>
  <si>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</si>
  <si>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</si>
  <si>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</si>
  <si>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</si>
  <si>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</si>
  <si>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</si>
  <si>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</si>
  <si>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</si>
  <si>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</si>
  <si>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</si>
  <si>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</si>
  <si>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</si>
  <si>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</si>
  <si>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</si>
  <si>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</si>
  <si>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</si>
  <si>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</si>
  <si>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</si>
  <si>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</si>
  <si>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</si>
  <si>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</si>
  <si>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</si>
  <si>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</si>
  <si>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</si>
  <si>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</si>
  <si>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</si>
  <si>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</si>
  <si>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</si>
  <si>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</si>
  <si>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</si>
  <si>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</si>
  <si>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</si>
  <si>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</si>
  <si>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</si>
  <si>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</si>
  <si>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</si>
  <si>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</si>
  <si>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</si>
  <si>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</si>
  <si>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</si>
  <si>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</si>
  <si>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</si>
  <si>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</si>
  <si>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</si>
  <si>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</si>
  <si>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</si>
  <si>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</si>
  <si>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</si>
  <si>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</si>
  <si>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</si>
  <si>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</si>
  <si>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</si>
  <si>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</si>
  <si>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</si>
  <si>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</si>
  <si>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</si>
  <si>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</si>
  <si>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</si>
  <si>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</si>
  <si>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</si>
  <si>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</si>
  <si>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</si>
  <si>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</si>
  <si>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</si>
  <si>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</si>
  <si>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</si>
  <si>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</si>
  <si>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</si>
  <si>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</si>
  <si>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</si>
  <si>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</si>
  <si>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</si>
  <si>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</si>
  <si>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</si>
  <si>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</si>
  <si>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</si>
  <si>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</si>
  <si>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</si>
  <si>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</si>
  <si>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</si>
  <si>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</si>
  <si>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</si>
  <si>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</si>
  <si>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</si>
  <si>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</si>
  <si>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</si>
  <si>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</si>
  <si>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</si>
  <si>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</si>
  <si>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</si>
  <si>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</si>
  <si>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</si>
  <si>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</si>
  <si>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</si>
  <si>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</si>
  <si>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</si>
  <si>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</si>
  <si>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</si>
  <si>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</si>
  <si>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</si>
  <si>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</si>
  <si>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</si>
  <si>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</si>
  <si>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</si>
  <si>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</si>
  <si>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</si>
  <si>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</si>
  <si>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</si>
  <si>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</si>
  <si>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</si>
  <si>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</si>
  <si>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</si>
  <si>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</si>
  <si>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</si>
  <si>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</si>
  <si>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</si>
  <si>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</si>
  <si>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</si>
  <si>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</si>
  <si>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</si>
  <si>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</si>
  <si>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</si>
  <si>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</si>
  <si>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</si>
  <si>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</si>
  <si>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</si>
  <si>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</si>
  <si>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</si>
  <si>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</si>
  <si>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</si>
  <si>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</si>
  <si>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</si>
  <si>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</si>
  <si>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</si>
  <si>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</si>
  <si>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</si>
  <si>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</si>
  <si>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</si>
  <si>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</si>
  <si>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</si>
  <si>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</si>
  <si>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</si>
  <si>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</si>
  <si>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</si>
  <si>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</si>
  <si>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</si>
  <si>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</si>
  <si>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</si>
  <si>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</si>
  <si>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</si>
  <si>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</si>
  <si>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</si>
  <si>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</si>
  <si>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</si>
  <si>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</si>
  <si>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</si>
  <si>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</si>
  <si>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</si>
  <si>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</si>
  <si>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</si>
  <si>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</si>
  <si>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</si>
  <si>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</si>
  <si>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</si>
  <si>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</si>
  <si>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</si>
  <si>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</si>
  <si>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</si>
  <si>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</si>
  <si>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</si>
  <si>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</si>
  <si>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</si>
  <si>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</si>
  <si>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</si>
  <si>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</si>
  <si>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</si>
  <si>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</si>
  <si>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</si>
  <si>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</si>
  <si>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</si>
  <si>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</si>
  <si>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</si>
  <si>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</si>
  <si>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</si>
  <si>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</si>
  <si>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</si>
  <si>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</si>
  <si>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</si>
  <si>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</si>
  <si>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</si>
  <si>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</si>
  <si>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</si>
  <si>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</si>
  <si>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</si>
  <si>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</si>
  <si>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</si>
  <si>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</si>
  <si>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</si>
  <si>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</si>
  <si>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</si>
  <si>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</si>
  <si>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</si>
  <si>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</si>
  <si>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</si>
  <si>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</si>
  <si>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</si>
  <si>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</si>
  <si>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</si>
  <si>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</si>
  <si>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</si>
  <si>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</si>
  <si>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</si>
  <si>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</si>
  <si>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</si>
  <si>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</si>
  <si>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</si>
  <si>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</si>
  <si>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</si>
  <si>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</si>
  <si>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</si>
  <si>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</si>
  <si>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</si>
  <si>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</si>
  <si>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</si>
  <si>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</si>
  <si>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</si>
  <si>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</si>
  <si>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</si>
  <si>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</si>
  <si>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</si>
  <si>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</si>
  <si>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</si>
  <si>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</si>
  <si>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</si>
  <si>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</si>
  <si>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</si>
  <si>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</si>
  <si>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</si>
  <si>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</si>
  <si>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</si>
  <si>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</si>
  <si>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</si>
  <si>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</si>
  <si>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</si>
  <si>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</si>
  <si>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</si>
  <si>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</si>
  <si>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</si>
  <si>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</si>
  <si>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</si>
  <si>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</si>
  <si>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</si>
  <si>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</si>
  <si>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</si>
  <si>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</si>
  <si>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</si>
  <si>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</si>
  <si>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</si>
  <si>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</si>
  <si>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</si>
  <si>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</si>
  <si>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</si>
  <si>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</si>
  <si>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</si>
  <si>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</si>
  <si>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</si>
  <si>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</si>
  <si>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</si>
  <si>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</si>
  <si>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</si>
  <si>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</si>
  <si>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</si>
  <si>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</si>
  <si>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</si>
  <si>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</si>
  <si>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</si>
  <si>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</si>
  <si>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</si>
  <si>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</si>
  <si>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</si>
  <si>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</si>
  <si>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</si>
  <si>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</si>
  <si>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</si>
  <si>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</si>
  <si>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</si>
  <si>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</si>
  <si>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</si>
  <si>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</si>
  <si>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</si>
  <si>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</si>
  <si>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</si>
  <si>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</si>
  <si>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</si>
  <si>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</si>
  <si>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</si>
  <si>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</si>
  <si>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</si>
  <si>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</si>
  <si>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</si>
  <si>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</si>
  <si>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</si>
  <si>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</si>
  <si>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</si>
  <si>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</si>
  <si>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</si>
  <si>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</si>
  <si>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</si>
  <si>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</si>
  <si>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</si>
  <si>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</si>
  <si>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</si>
  <si>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</si>
  <si>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</si>
  <si>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</si>
  <si>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</si>
  <si>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</si>
  <si>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</si>
  <si>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</si>
  <si>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</si>
  <si>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</si>
  <si>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</si>
  <si>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</si>
  <si>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</si>
  <si>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</si>
  <si>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</si>
  <si>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</si>
  <si>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</si>
  <si>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</si>
  <si>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</si>
  <si>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</si>
  <si>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</si>
  <si>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</si>
  <si>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</si>
  <si>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</si>
  <si>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</si>
  <si>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</si>
  <si>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</si>
  <si>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</si>
  <si>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</si>
  <si>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</si>
  <si>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</si>
  <si>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</si>
  <si>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</si>
  <si>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</si>
  <si>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</si>
  <si>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</si>
  <si>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</si>
  <si>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</si>
  <si>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</si>
  <si>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</si>
  <si>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</si>
  <si>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</si>
  <si>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</si>
  <si>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</si>
  <si>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</si>
  <si>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</si>
  <si>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</si>
  <si>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</si>
  <si>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</si>
  <si>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</si>
  <si>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</si>
  <si>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</si>
  <si>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</si>
  <si>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</si>
  <si>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</si>
  <si>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</si>
  <si>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</si>
  <si>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</si>
  <si>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</si>
  <si>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</si>
  <si>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</si>
  <si>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</si>
  <si>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</si>
  <si>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</si>
  <si>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</si>
  <si>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</si>
  <si>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</si>
  <si>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</si>
  <si>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</si>
  <si>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</si>
  <si>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</si>
  <si>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</si>
  <si>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</si>
  <si>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</si>
  <si>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</si>
  <si>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</si>
  <si>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</si>
  <si>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</si>
  <si>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</si>
  <si>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</si>
  <si>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</si>
  <si>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</si>
  <si>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</si>
  <si>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</si>
  <si>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</si>
  <si>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</si>
  <si>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</si>
  <si>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</si>
  <si>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</si>
  <si>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</si>
  <si>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</si>
  <si>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</si>
  <si>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</si>
  <si>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</si>
  <si>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</si>
  <si>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</si>
  <si>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</si>
  <si>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</si>
  <si>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</si>
  <si>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</si>
  <si>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</si>
  <si>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</si>
  <si>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</si>
  <si>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</si>
  <si>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</si>
  <si>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</si>
  <si>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</si>
  <si>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</si>
  <si>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</si>
  <si>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</si>
  <si>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</si>
  <si>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</si>
  <si>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</si>
  <si>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</si>
  <si>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</si>
  <si>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</si>
  <si>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</si>
  <si>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</si>
  <si>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</si>
  <si>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</si>
  <si>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</si>
  <si>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</si>
  <si>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</si>
  <si>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</si>
  <si>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</si>
  <si>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</si>
  <si>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</si>
  <si>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</si>
  <si>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</si>
  <si>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</si>
  <si>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</si>
  <si>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</si>
  <si>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</si>
  <si>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</si>
  <si>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</si>
  <si>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</si>
  <si>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</si>
  <si>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</si>
  <si>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</si>
  <si>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</si>
  <si>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</si>
  <si>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</si>
  <si>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</si>
  <si>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</si>
  <si>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</si>
  <si>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</si>
  <si>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</si>
  <si>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</si>
  <si>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</si>
  <si>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</si>
  <si>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</si>
  <si>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</si>
  <si>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</si>
  <si>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</si>
  <si>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</si>
  <si>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</si>
  <si>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</si>
  <si>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</si>
  <si>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</si>
  <si>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</si>
  <si>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</si>
  <si>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</si>
  <si>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</si>
  <si>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</si>
  <si>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</si>
  <si>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</si>
  <si>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</si>
  <si>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</si>
  <si>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</si>
  <si>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</si>
  <si>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</si>
  <si>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</si>
  <si>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</si>
  <si>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</si>
  <si>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</si>
  <si>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</si>
  <si>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</si>
  <si>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</si>
  <si>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</si>
  <si>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</si>
  <si>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</si>
  <si>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</si>
  <si>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</si>
  <si>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</si>
  <si>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</si>
  <si>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</si>
  <si>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</si>
  <si>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</si>
  <si>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</si>
  <si>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</si>
  <si>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</si>
  <si>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</si>
  <si>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</si>
  <si>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</si>
  <si>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</si>
  <si>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</si>
  <si>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</si>
  <si>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</si>
  <si>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</si>
  <si>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</si>
  <si>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</si>
  <si>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</si>
  <si>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</si>
  <si>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</si>
  <si>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</si>
  <si>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</si>
  <si>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</si>
  <si>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</si>
  <si>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</si>
  <si>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</si>
  <si>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</si>
  <si>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</si>
  <si>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</si>
  <si>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</si>
  <si>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</si>
  <si>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</si>
  <si>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</si>
  <si>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</si>
  <si>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</si>
  <si>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</si>
  <si>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</si>
  <si>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</si>
  <si>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</si>
  <si>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</si>
  <si>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</si>
  <si>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</si>
  <si>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</si>
  <si>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</si>
  <si>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</si>
  <si>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</si>
  <si>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</si>
  <si>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</si>
  <si>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</si>
  <si>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</si>
  <si>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</si>
  <si>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</si>
  <si>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</si>
  <si>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</si>
  <si>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</si>
  <si>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</si>
  <si>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</si>
  <si>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</si>
  <si>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</si>
  <si>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</si>
  <si>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</si>
  <si>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</si>
  <si>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</si>
  <si>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</si>
  <si>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</si>
  <si>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</si>
  <si>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</si>
  <si>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</si>
  <si>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</si>
  <si>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</si>
  <si>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</si>
  <si>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</si>
  <si>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</si>
  <si>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</si>
  <si>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</si>
  <si>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</si>
  <si>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</si>
  <si>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</si>
  <si>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</si>
  <si>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</si>
  <si>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</si>
  <si>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</si>
  <si>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</si>
  <si>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</si>
  <si>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</si>
  <si>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</si>
  <si>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</si>
  <si>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</si>
  <si>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</si>
  <si>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</si>
  <si>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</si>
  <si>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</si>
  <si>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</si>
  <si>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</si>
  <si>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</si>
  <si>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</si>
  <si>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</si>
  <si>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</si>
  <si>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</si>
  <si>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</si>
  <si>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</si>
  <si>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</si>
  <si>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</si>
  <si>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</si>
  <si>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</si>
  <si>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</si>
  <si>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</si>
  <si>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</si>
  <si>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</si>
  <si>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</si>
  <si>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</si>
  <si>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</si>
  <si>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</si>
  <si>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</si>
  <si>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</si>
  <si>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</si>
  <si>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</si>
  <si>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</si>
  <si>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</si>
  <si>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</si>
  <si>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</si>
  <si>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</si>
  <si>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</si>
  <si>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</si>
  <si>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</si>
  <si>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</si>
  <si>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</si>
  <si>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</si>
  <si>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</si>
  <si>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</si>
  <si>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</si>
  <si>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</si>
  <si>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</si>
  <si>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</si>
  <si>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</si>
  <si>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</si>
  <si>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</si>
  <si>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</si>
  <si>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</si>
  <si>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</si>
  <si>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</si>
  <si>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</si>
  <si>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</si>
  <si>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</si>
  <si>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</si>
  <si>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</si>
  <si>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</si>
  <si>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</si>
  <si>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</si>
  <si>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</si>
  <si>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</si>
  <si>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</si>
  <si>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</si>
  <si>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</si>
  <si>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</si>
  <si>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</si>
  <si>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</si>
  <si>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</si>
  <si>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</si>
  <si>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</si>
  <si>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</si>
  <si>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</si>
  <si>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</si>
  <si>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</si>
  <si>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</si>
  <si>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</si>
  <si>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</si>
  <si>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</si>
  <si>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</si>
  <si>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</si>
  <si>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</si>
  <si>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</si>
  <si>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</si>
  <si>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</si>
  <si>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</si>
  <si>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</si>
  <si>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</si>
  <si>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</si>
  <si>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</si>
  <si>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</si>
  <si>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</si>
  <si>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</si>
  <si>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</si>
  <si>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</si>
  <si>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</si>
  <si>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</si>
  <si>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</si>
  <si>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</si>
  <si>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</si>
  <si>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</si>
  <si>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</si>
  <si>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</si>
  <si>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</si>
  <si>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</si>
  <si>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</si>
  <si>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</si>
  <si>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</si>
  <si>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</si>
  <si>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</si>
  <si>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</si>
  <si>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</si>
  <si>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</si>
  <si>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</si>
  <si>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</si>
  <si>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</si>
  <si>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</si>
  <si>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</si>
  <si>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</si>
  <si>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</si>
  <si>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</si>
  <si>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</si>
  <si>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</si>
  <si>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</si>
  <si>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</si>
  <si>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</si>
  <si>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</si>
  <si>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</si>
  <si>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</si>
  <si>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</si>
  <si>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</si>
  <si>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</si>
  <si>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</si>
  <si>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</si>
  <si>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</si>
  <si>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</si>
  <si>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</si>
  <si>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</si>
  <si>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</si>
  <si>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</si>
  <si>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</si>
  <si>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</si>
  <si>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</si>
  <si>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</si>
  <si>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</si>
  <si>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</si>
  <si>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</si>
  <si>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</si>
  <si>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</si>
  <si>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</si>
  <si>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</si>
  <si>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</si>
  <si>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</si>
  <si>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</si>
  <si>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</si>
  <si>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</si>
  <si>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</si>
  <si>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</si>
  <si>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</si>
  <si>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</si>
  <si>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</si>
  <si>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</si>
  <si>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</si>
  <si>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</si>
  <si>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</si>
  <si>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</si>
  <si>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</si>
  <si>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</si>
  <si>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</si>
  <si>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</si>
  <si>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</si>
  <si>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</si>
  <si>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</si>
  <si>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</si>
  <si>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</si>
  <si>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</si>
  <si>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</si>
  <si>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</si>
  <si>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</si>
  <si>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</si>
  <si>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</si>
  <si>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</si>
  <si>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</si>
  <si>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</si>
  <si>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</si>
  <si>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</si>
  <si>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</si>
  <si>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</si>
  <si>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</si>
  <si>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</si>
  <si>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</si>
  <si>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</si>
  <si>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</si>
  <si>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</si>
  <si>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</si>
  <si>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</si>
  <si>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</si>
  <si>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</si>
  <si>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</si>
  <si>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</si>
  <si>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</si>
  <si>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</si>
  <si>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</si>
  <si>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</si>
  <si>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</si>
  <si>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</si>
  <si>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</si>
  <si>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</si>
  <si>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</si>
  <si>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</si>
  <si>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</si>
  <si>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</si>
  <si>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</si>
  <si>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</si>
  <si>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</si>
  <si>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</si>
  <si>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</si>
  <si>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</si>
  <si>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</si>
  <si>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</si>
  <si>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</si>
  <si>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</si>
  <si>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</si>
  <si>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</si>
  <si>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</si>
  <si>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</si>
  <si>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</si>
  <si>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</si>
  <si>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</si>
  <si>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</si>
  <si>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</si>
  <si>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</si>
  <si>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</si>
  <si>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</si>
  <si>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</si>
  <si>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</si>
  <si>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</si>
  <si>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</si>
  <si>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</si>
  <si>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</si>
  <si>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</si>
  <si>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</si>
  <si>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</si>
  <si>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</si>
  <si>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</si>
  <si>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</si>
  <si>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</si>
  <si>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</si>
  <si>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</si>
  <si>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</si>
  <si>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</si>
  <si>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</si>
  <si>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</si>
  <si>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</si>
  <si>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</si>
  <si>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</si>
  <si>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</si>
  <si>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</si>
  <si>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</si>
  <si>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</si>
  <si>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</si>
  <si>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</si>
  <si>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</si>
  <si>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</si>
  <si>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</si>
  <si>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</si>
  <si>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</si>
  <si>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</si>
  <si>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</si>
  <si>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</si>
  <si>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</si>
  <si>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</si>
  <si>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</si>
  <si>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</si>
  <si>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</si>
  <si>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</si>
  <si>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</si>
  <si>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</si>
  <si>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</si>
  <si>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</si>
  <si>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</si>
  <si>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</si>
  <si>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</si>
  <si>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</si>
  <si>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</si>
  <si>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</si>
  <si>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</si>
  <si>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</si>
  <si>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</si>
  <si>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</si>
  <si>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</si>
  <si>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</si>
  <si>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</si>
  <si>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</si>
  <si>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</si>
  <si>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</si>
  <si>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</si>
  <si>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</si>
  <si>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</si>
  <si>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</si>
  <si>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</si>
  <si>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</si>
  <si>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</si>
  <si>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</si>
  <si>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</si>
  <si>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</si>
  <si>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</si>
  <si>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</si>
  <si>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</si>
  <si>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</si>
  <si>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</si>
  <si>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</si>
  <si>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</si>
  <si>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</si>
  <si>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</si>
  <si>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</si>
  <si>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</si>
  <si>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</si>
  <si>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</si>
  <si>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</si>
  <si>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</si>
  <si>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</si>
  <si>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</si>
  <si>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</si>
  <si>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</si>
  <si>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</si>
  <si>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</si>
  <si>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</si>
  <si>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</si>
  <si>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</si>
  <si>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</si>
  <si>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</si>
  <si>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</si>
  <si>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</si>
  <si>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</si>
  <si>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</si>
  <si>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</si>
  <si>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</si>
  <si>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</si>
  <si>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</si>
  <si>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</si>
  <si>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</si>
  <si>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</si>
  <si>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</si>
  <si>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</si>
  <si>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</si>
  <si>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</si>
  <si>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</si>
  <si>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</si>
  <si>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</si>
  <si>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</si>
  <si>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</si>
  <si>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</si>
  <si>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</si>
  <si>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</si>
  <si>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</si>
  <si>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</si>
  <si>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</si>
  <si>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</si>
  <si>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</si>
  <si>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</si>
  <si>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</si>
  <si>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</si>
  <si>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</si>
  <si>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</si>
  <si>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</si>
  <si>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</si>
  <si>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</si>
  <si>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</si>
  <si>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</si>
  <si>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</si>
  <si>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</si>
  <si>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</si>
  <si>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</si>
  <si>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</si>
  <si>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</si>
  <si>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</si>
  <si>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</si>
  <si>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</si>
  <si>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</si>
  <si>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</si>
  <si>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</si>
  <si>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</si>
  <si>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</si>
  <si>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</si>
  <si>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</si>
  <si>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</si>
  <si>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</si>
  <si>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</si>
  <si>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</si>
  <si>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</si>
  <si>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</si>
  <si>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</si>
  <si>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</si>
  <si>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</si>
  <si>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</si>
  <si>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</si>
  <si>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</si>
  <si>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</si>
  <si>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</si>
  <si>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</si>
  <si>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</si>
  <si>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</si>
  <si>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</si>
  <si>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</si>
  <si>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</si>
  <si>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</si>
  <si>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</si>
  <si>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</si>
  <si>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</si>
  <si>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</si>
  <si>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</si>
  <si>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</si>
  <si>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</si>
  <si>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</si>
  <si>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</si>
  <si>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</si>
  <si>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</si>
  <si>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</si>
  <si>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</si>
  <si>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</si>
  <si>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</si>
  <si>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</si>
  <si>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</si>
  <si>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</si>
  <si>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</si>
  <si>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</si>
  <si>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</si>
  <si>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</si>
  <si>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</si>
  <si>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</si>
  <si>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</si>
  <si>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</si>
  <si>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</si>
  <si>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</si>
  <si>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</si>
  <si>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</si>
  <si>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</si>
  <si>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</si>
  <si>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</si>
  <si>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</si>
  <si>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</si>
  <si>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</si>
  <si>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</si>
  <si>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</si>
  <si>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</si>
  <si>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</si>
  <si>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</si>
  <si>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</si>
  <si>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</si>
  <si>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</si>
  <si>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</si>
  <si>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</si>
  <si>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</si>
  <si>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</si>
  <si>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</si>
  <si>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</si>
  <si>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</si>
  <si>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</si>
  <si>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</si>
  <si>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</si>
  <si>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</si>
  <si>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</si>
  <si>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</si>
  <si>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</si>
  <si>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</si>
  <si>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</si>
  <si>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</si>
  <si>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</si>
  <si>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</si>
  <si>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</si>
  <si>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</si>
  <si>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</si>
  <si>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</si>
  <si>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</si>
  <si>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</si>
  <si>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</si>
  <si>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</si>
  <si>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</si>
  <si>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</si>
  <si>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</si>
  <si>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</si>
  <si>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</si>
  <si>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</si>
  <si>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</si>
  <si>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</si>
  <si>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</si>
  <si>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</si>
  <si>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</si>
  <si>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</si>
  <si>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</si>
  <si>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</si>
  <si>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</si>
  <si>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</si>
  <si>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</si>
  <si>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</si>
  <si>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</si>
  <si>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</si>
  <si>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</si>
  <si>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</si>
  <si>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</si>
  <si>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</si>
  <si>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</si>
  <si>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</si>
  <si>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</si>
  <si>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</si>
  <si>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</si>
  <si>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</si>
  <si>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</si>
  <si>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</si>
  <si>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</si>
  <si>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</si>
  <si>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</si>
  <si>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</si>
  <si>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</si>
  <si>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</si>
  <si>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</si>
  <si>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</si>
  <si>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</si>
  <si>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</si>
  <si>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</si>
  <si>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</si>
  <si>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</si>
  <si>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</si>
  <si>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</si>
  <si>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</si>
  <si>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</si>
  <si>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</si>
  <si>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</si>
  <si>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</si>
  <si>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</si>
  <si>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</si>
  <si>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</si>
  <si>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</si>
  <si>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</si>
  <si>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</si>
  <si>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</si>
  <si>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</si>
  <si>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</si>
  <si>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</si>
  <si>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</si>
  <si>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</si>
  <si>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</si>
  <si>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</si>
  <si>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</si>
  <si>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</si>
  <si>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</si>
  <si>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</si>
  <si>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</si>
  <si>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</si>
  <si>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</si>
  <si>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</si>
  <si>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</si>
  <si>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</si>
  <si>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</si>
  <si>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</si>
  <si>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</si>
  <si>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</si>
  <si>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</si>
  <si>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</si>
  <si>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</si>
  <si>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</si>
  <si>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</si>
  <si>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</si>
  <si>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</si>
  <si>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</si>
  <si>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</si>
  <si>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</si>
  <si>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</si>
  <si>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</si>
  <si>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</si>
  <si>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</si>
  <si>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</si>
  <si>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</si>
  <si>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</si>
  <si>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</si>
  <si>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</si>
  <si>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</si>
  <si>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</si>
  <si>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</si>
  <si>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</si>
  <si>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</si>
  <si>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</si>
  <si>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</si>
  <si>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</si>
  <si>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</si>
  <si>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</si>
  <si>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</si>
  <si>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</si>
  <si>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</si>
  <si>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</si>
  <si>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</si>
  <si>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</si>
  <si>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</si>
  <si>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</si>
  <si>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</si>
  <si>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</si>
  <si>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</si>
  <si>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</si>
  <si>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</si>
  <si>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</si>
  <si>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</si>
  <si>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</si>
  <si>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</si>
  <si>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</si>
  <si>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</si>
  <si>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</si>
  <si>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</si>
  <si>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</si>
  <si>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</si>
  <si>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</si>
  <si>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</si>
  <si>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</si>
  <si>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</si>
  <si>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</si>
  <si>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</si>
  <si>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</si>
  <si>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</si>
  <si>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</si>
  <si>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</si>
  <si>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</si>
  <si>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</si>
  <si>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</si>
  <si>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</si>
  <si>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</si>
  <si>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</si>
  <si>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</si>
  <si>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</si>
  <si>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</si>
  <si>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</si>
  <si>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</si>
  <si>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</si>
  <si>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</si>
  <si>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</si>
  <si>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</si>
  <si>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</si>
  <si>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</si>
  <si>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</si>
  <si>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</si>
  <si>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</si>
  <si>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</si>
  <si>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</si>
  <si>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</si>
  <si>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</si>
  <si>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</si>
  <si>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</si>
  <si>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</si>
  <si>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</si>
  <si>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</si>
  <si>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</si>
  <si>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</si>
  <si>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</si>
  <si>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</si>
  <si>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</si>
  <si>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</si>
  <si>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</si>
  <si>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</si>
  <si>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</si>
  <si>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</si>
  <si>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</si>
  <si>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</si>
  <si>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</si>
  <si>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</si>
  <si>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</si>
  <si>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</si>
  <si>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</si>
  <si>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</si>
  <si>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</si>
  <si>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</si>
  <si>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</si>
  <si>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</si>
  <si>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</si>
  <si>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</si>
  <si>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</si>
  <si>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</si>
  <si>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</si>
  <si>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</si>
  <si>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</si>
  <si>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</si>
  <si>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</si>
  <si>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</si>
  <si>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</si>
  <si>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</si>
  <si>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</si>
  <si>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</si>
  <si>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</si>
  <si>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</si>
  <si>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</si>
  <si>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</si>
  <si>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</si>
  <si>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</si>
  <si>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</si>
  <si>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</si>
  <si>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</si>
  <si>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</si>
  <si>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</si>
  <si>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</si>
  <si>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</si>
  <si>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</si>
  <si>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</si>
  <si>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</si>
  <si>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</si>
  <si>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</si>
  <si>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</si>
  <si>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</si>
  <si>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</si>
  <si>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</si>
  <si>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</si>
  <si>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</si>
  <si>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</si>
  <si>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</si>
  <si>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</si>
  <si>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</si>
  <si>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</si>
  <si>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</si>
  <si>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</si>
  <si>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</si>
  <si>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</si>
  <si>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</si>
  <si>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</si>
  <si>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</si>
  <si>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</si>
  <si>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</si>
  <si>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</si>
  <si>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</si>
  <si>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</si>
  <si>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</si>
  <si>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</si>
  <si>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</si>
  <si>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</si>
  <si>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</si>
  <si>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</si>
  <si>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</si>
  <si>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</si>
  <si>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</si>
  <si>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</si>
  <si>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</si>
  <si>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</si>
  <si>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</si>
  <si>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</si>
  <si>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</si>
  <si>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</si>
  <si>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</si>
  <si>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</si>
  <si>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</si>
  <si>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</si>
  <si>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</si>
  <si>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</si>
  <si>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</si>
  <si>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</si>
  <si>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</si>
  <si>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</si>
  <si>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</si>
  <si>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</si>
  <si>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</si>
  <si>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</si>
  <si>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</si>
  <si>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</si>
  <si>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</si>
  <si>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</si>
  <si>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</si>
  <si>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</si>
  <si>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</si>
  <si>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</si>
  <si>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</si>
  <si>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</si>
  <si>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</si>
  <si>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</si>
  <si>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</si>
  <si>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</si>
  <si>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</si>
  <si>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</si>
  <si>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</si>
  <si>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</si>
  <si>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</si>
  <si>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</si>
  <si>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</si>
  <si>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</si>
  <si>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</si>
  <si>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</si>
  <si>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</si>
  <si>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</si>
  <si>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</si>
  <si>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</si>
  <si>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</si>
  <si>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</si>
  <si>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</si>
  <si>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</si>
  <si>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</si>
  <si>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</si>
  <si>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</si>
  <si>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</si>
  <si>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</si>
  <si>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</si>
  <si>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</si>
  <si>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</si>
  <si>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</si>
  <si>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</si>
  <si>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</si>
  <si>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</si>
  <si>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</si>
  <si>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</si>
  <si>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</si>
  <si>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</si>
  <si>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</si>
  <si>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</si>
  <si>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</si>
  <si>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</si>
  <si>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</si>
  <si>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</si>
  <si>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</si>
  <si>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</si>
  <si>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</si>
  <si>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</si>
  <si>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</si>
  <si>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</si>
  <si>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</si>
  <si>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</si>
  <si>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</si>
  <si>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</si>
  <si>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</si>
  <si>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</si>
  <si>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</si>
  <si>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</si>
  <si>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</si>
  <si>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</si>
  <si>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</si>
  <si>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</si>
  <si>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</si>
  <si>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</si>
  <si>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</si>
  <si>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</si>
  <si>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</si>
  <si>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</si>
  <si>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</si>
  <si>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</si>
  <si>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</si>
  <si>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</si>
  <si>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</si>
  <si>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</si>
  <si>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</si>
  <si>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</si>
  <si>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</si>
  <si>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</si>
  <si>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</si>
  <si>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</si>
  <si>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</si>
  <si>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</si>
  <si>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</si>
  <si>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</si>
  <si>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</si>
  <si>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</si>
  <si>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</si>
  <si>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</si>
  <si>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</si>
  <si>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</si>
  <si>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</si>
  <si>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</si>
  <si>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</si>
  <si>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</si>
  <si>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</si>
  <si>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</si>
  <si>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</si>
  <si>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</si>
  <si>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</si>
  <si>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</si>
  <si>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</si>
  <si>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</si>
  <si>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</si>
  <si>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</si>
  <si>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</si>
  <si>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</si>
  <si>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</si>
  <si>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</si>
  <si>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</si>
  <si>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</si>
  <si>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</si>
  <si>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</si>
  <si>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</si>
  <si>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</si>
  <si>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</si>
  <si>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</si>
  <si>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</si>
  <si>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</si>
  <si>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</si>
  <si>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</si>
  <si>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</si>
  <si>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</si>
  <si>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</si>
  <si>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</si>
  <si>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</si>
  <si>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</si>
  <si>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</si>
  <si>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</si>
  <si>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</si>
  <si>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</si>
  <si>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</si>
  <si>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</si>
  <si>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</si>
  <si>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</si>
  <si>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</si>
  <si>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</si>
  <si>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</si>
  <si>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</si>
  <si>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</si>
  <si>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</si>
  <si>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</si>
  <si>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</si>
  <si>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</si>
  <si>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</si>
  <si>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</si>
  <si>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</si>
  <si>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</si>
  <si>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</si>
  <si>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</si>
  <si>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</si>
  <si>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</si>
  <si>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</si>
  <si>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</si>
  <si>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</si>
  <si>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</si>
  <si>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</si>
  <si>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</si>
  <si>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</si>
  <si>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</si>
  <si>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</si>
  <si>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</si>
  <si>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</si>
  <si>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</si>
  <si>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</si>
  <si>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</si>
  <si>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</si>
  <si>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</si>
  <si>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</si>
  <si>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</si>
  <si>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</si>
  <si>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</si>
  <si>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</si>
  <si>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</si>
  <si>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</si>
  <si>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</si>
  <si>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</si>
  <si>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</si>
  <si>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</si>
  <si>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</si>
  <si>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</si>
  <si>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</si>
  <si>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</si>
  <si>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</si>
  <si>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</si>
  <si>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</si>
  <si>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</si>
  <si>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</si>
  <si>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</si>
  <si>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</si>
  <si>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</si>
  <si>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</si>
  <si>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</si>
  <si>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</si>
  <si>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</si>
  <si>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</si>
  <si>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</si>
  <si>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</si>
  <si>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</si>
  <si>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</si>
  <si>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</si>
  <si>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</si>
  <si>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</si>
  <si>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</si>
  <si>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</si>
  <si>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</si>
  <si>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</si>
  <si>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</si>
  <si>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</si>
  <si>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</si>
  <si>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</si>
  <si>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</si>
  <si>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</si>
  <si>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</si>
  <si>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</si>
  <si>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</si>
  <si>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</si>
  <si>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</si>
  <si>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</si>
  <si>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</si>
  <si>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</si>
  <si>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</si>
  <si>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</si>
  <si>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</si>
  <si>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</si>
  <si>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</si>
  <si>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</si>
  <si>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</si>
  <si>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</si>
  <si>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</si>
  <si>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</si>
  <si>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</si>
  <si>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</si>
  <si>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</si>
  <si>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</si>
  <si>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</si>
  <si>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</si>
  <si>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</si>
  <si>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</si>
  <si>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</si>
  <si>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</si>
  <si>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</si>
  <si>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</si>
  <si>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</si>
  <si>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</si>
  <si>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</si>
  <si>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</si>
  <si>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</si>
  <si>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</si>
  <si>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</si>
  <si>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</si>
  <si>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</si>
  <si>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</si>
  <si>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</si>
  <si>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</si>
  <si>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</si>
  <si>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</si>
  <si>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</si>
  <si>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</si>
  <si>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</si>
  <si>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</si>
  <si>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</si>
  <si>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</si>
  <si>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</si>
  <si>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</si>
  <si>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</si>
  <si>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</si>
  <si>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</si>
  <si>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</si>
  <si>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</si>
  <si>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</si>
  <si>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</si>
  <si>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</si>
  <si>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</si>
  <si>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</si>
  <si>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</si>
  <si>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</si>
  <si>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</si>
  <si>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</si>
  <si>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</si>
  <si>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</si>
  <si>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</si>
  <si>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</si>
  <si>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</si>
  <si>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</si>
  <si>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</si>
  <si>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</si>
  <si>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</si>
  <si>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</si>
  <si>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</si>
  <si>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</si>
  <si>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</si>
  <si>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</si>
  <si>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</si>
  <si>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</si>
  <si>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</si>
  <si>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</si>
  <si>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</si>
  <si>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</si>
  <si>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</si>
  <si>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</si>
  <si>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</si>
  <si>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</si>
  <si>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</si>
  <si>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</si>
  <si>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</si>
  <si>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</si>
  <si>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</si>
  <si>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</si>
  <si>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</si>
  <si>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</si>
  <si>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</si>
  <si>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</si>
  <si>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</si>
  <si>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</si>
  <si>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</si>
  <si>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</si>
  <si>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</si>
  <si>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</si>
  <si>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</si>
  <si>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</si>
  <si>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</si>
  <si>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</si>
  <si>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</si>
  <si>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</si>
  <si>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</si>
  <si>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</si>
  <si>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</si>
  <si>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</si>
  <si>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</si>
  <si>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</si>
  <si>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</si>
  <si>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</si>
  <si>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</si>
  <si>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</si>
  <si>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</si>
  <si>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</si>
  <si>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</si>
  <si>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</si>
  <si>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</si>
  <si>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</si>
  <si>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</si>
  <si>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</si>
  <si>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</si>
  <si>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</si>
  <si>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</si>
  <si>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</si>
  <si>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</si>
  <si>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</si>
  <si>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</si>
  <si>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</si>
  <si>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</si>
  <si>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</si>
  <si>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</si>
  <si>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</si>
  <si>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</si>
  <si>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</si>
  <si>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</si>
  <si>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</si>
  <si>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</si>
  <si>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</si>
  <si>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</si>
  <si>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</si>
  <si>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</si>
  <si>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</si>
  <si>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</si>
  <si>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</si>
  <si>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</si>
  <si>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</si>
  <si>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</si>
  <si>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</si>
  <si>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</si>
  <si>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</si>
  <si>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</si>
  <si>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</si>
  <si>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</si>
  <si>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</si>
  <si>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</si>
  <si>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</si>
  <si>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</si>
  <si>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</si>
  <si>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</si>
  <si>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</si>
  <si>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</si>
  <si>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</si>
  <si>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</si>
  <si>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</si>
  <si>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</si>
  <si>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</si>
  <si>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</si>
  <si>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</si>
  <si>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</si>
  <si>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</si>
  <si>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</si>
  <si>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</si>
  <si>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</si>
  <si>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</si>
  <si>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</si>
  <si>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</si>
  <si>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</si>
  <si>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</si>
  <si>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</si>
  <si>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</si>
  <si>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</si>
  <si>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</si>
  <si>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</si>
  <si>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</si>
  <si>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</si>
  <si>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</si>
  <si>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</si>
  <si>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</si>
  <si>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</si>
  <si>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</si>
  <si>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</si>
  <si>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</si>
  <si>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</si>
  <si>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</si>
  <si>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</si>
  <si>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</si>
  <si>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</si>
  <si>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</si>
  <si>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</si>
  <si>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</si>
  <si>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</si>
  <si>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</si>
  <si>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</si>
  <si>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</si>
  <si>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</si>
  <si>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</si>
  <si>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</si>
  <si>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</si>
  <si>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</si>
  <si>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</si>
  <si>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</si>
  <si>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</si>
  <si>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</si>
  <si>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</si>
  <si>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</si>
  <si>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</si>
  <si>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</si>
  <si>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</si>
  <si>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</si>
  <si>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</si>
  <si>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</si>
  <si>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</si>
  <si>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</si>
  <si>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</si>
  <si>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</si>
  <si>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</si>
  <si>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</si>
  <si>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</si>
  <si>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</si>
  <si>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</si>
  <si>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</si>
  <si>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</si>
  <si>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</si>
  <si>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</si>
  <si>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</si>
  <si>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</si>
  <si>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</si>
  <si>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</si>
  <si>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</si>
  <si>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</si>
  <si>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</si>
  <si>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</si>
  <si>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</si>
  <si>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</si>
  <si>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</si>
  <si>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</si>
  <si>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</si>
  <si>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</si>
  <si>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</si>
  <si>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</si>
  <si>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</si>
  <si>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</si>
  <si>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</si>
  <si>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</si>
  <si>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</si>
  <si>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</si>
  <si>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</si>
  <si>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</si>
  <si>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</si>
  <si>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</si>
  <si>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</si>
  <si>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</si>
  <si>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</si>
  <si>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</si>
  <si>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</si>
  <si>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</si>
  <si>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</si>
  <si>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</si>
  <si>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</si>
  <si>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</si>
  <si>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</si>
  <si>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</si>
  <si>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</si>
  <si>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</si>
  <si>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</si>
  <si>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</si>
  <si>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</si>
  <si>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</si>
  <si>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</si>
  <si>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</si>
  <si>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</si>
  <si>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</si>
  <si>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</si>
  <si>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</si>
  <si>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</si>
  <si>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</si>
  <si>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</si>
  <si>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</si>
  <si>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</si>
  <si>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</si>
  <si>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</si>
  <si>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</si>
  <si>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</si>
  <si>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</si>
  <si>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</si>
  <si>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</si>
  <si>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</si>
  <si>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</si>
  <si>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</si>
  <si>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</si>
  <si>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</si>
  <si>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</si>
  <si>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</si>
  <si>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</si>
  <si>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</si>
  <si>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</si>
  <si>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</si>
  <si>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</si>
  <si>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</si>
  <si>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</si>
  <si>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</si>
  <si>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</si>
  <si>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</si>
  <si>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</si>
  <si>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</si>
  <si>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</si>
  <si>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</si>
  <si>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</si>
  <si>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</si>
  <si>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</si>
  <si>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</si>
  <si>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</si>
  <si>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</si>
  <si>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</si>
  <si>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</si>
  <si>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</si>
  <si>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</si>
  <si>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</si>
  <si>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</si>
  <si>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</si>
  <si>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</si>
  <si>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</si>
  <si>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</si>
  <si>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</si>
  <si>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</si>
  <si>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</si>
  <si>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</si>
  <si>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</si>
  <si>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</si>
  <si>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</si>
  <si>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</si>
  <si>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</si>
  <si>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</si>
  <si>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</si>
  <si>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</si>
  <si>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</si>
  <si>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</si>
  <si>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</si>
  <si>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</si>
  <si>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</si>
  <si>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</si>
  <si>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</si>
  <si>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</si>
  <si>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</si>
  <si>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</si>
  <si>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</si>
  <si>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</si>
  <si>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</si>
  <si>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</si>
  <si>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</si>
  <si>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</si>
  <si>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</si>
  <si>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</si>
  <si>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</si>
  <si>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</si>
  <si>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</si>
  <si>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</si>
  <si>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</si>
  <si>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</si>
  <si>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</si>
  <si>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</si>
  <si>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</si>
  <si>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</si>
  <si>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</si>
  <si>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</si>
  <si>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</si>
  <si>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</si>
  <si>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</si>
  <si>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</si>
  <si>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</si>
  <si>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</si>
  <si>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</si>
  <si>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</si>
  <si>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</si>
  <si>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</si>
  <si>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</si>
  <si>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</si>
  <si>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</si>
  <si>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</si>
  <si>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</si>
  <si>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</si>
  <si>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</si>
  <si>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</si>
  <si>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</si>
  <si>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</si>
  <si>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</si>
  <si>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</si>
  <si>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</si>
  <si>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</si>
  <si>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</si>
  <si>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</si>
  <si>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</si>
  <si>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</si>
  <si>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</si>
  <si>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</si>
  <si>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</si>
  <si>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</si>
  <si>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</si>
  <si>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</si>
  <si>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</si>
  <si>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</si>
  <si>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</si>
  <si>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</si>
  <si>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</si>
  <si>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</si>
  <si>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</si>
  <si>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</si>
  <si>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</si>
  <si>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</si>
  <si>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</si>
  <si>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</si>
  <si>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</si>
  <si>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</si>
  <si>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</si>
  <si>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</si>
  <si>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</si>
  <si>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</si>
  <si>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</si>
  <si>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</si>
  <si>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</si>
  <si>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</si>
  <si>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</si>
  <si>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</si>
  <si>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</si>
  <si>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</si>
  <si>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</si>
  <si>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</si>
  <si>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</si>
  <si>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</si>
  <si>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</si>
  <si>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</si>
  <si>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</si>
  <si>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</si>
  <si>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</si>
  <si>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</si>
  <si>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</si>
  <si>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</si>
  <si>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</si>
  <si>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</si>
  <si>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</si>
  <si>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</si>
  <si>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</si>
  <si>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</si>
  <si>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</si>
  <si>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</si>
  <si>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</si>
  <si>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</si>
  <si>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</si>
  <si>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</si>
  <si>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</si>
  <si>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</si>
  <si>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</si>
  <si>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</si>
  <si>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</si>
  <si>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</si>
  <si>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</si>
  <si>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</si>
  <si>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</si>
  <si>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</si>
  <si>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</si>
  <si>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</si>
  <si>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</si>
  <si>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</si>
  <si>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</si>
  <si>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</si>
  <si>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</si>
  <si>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</si>
  <si>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</si>
  <si>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</si>
  <si>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</si>
  <si>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</si>
  <si>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</si>
  <si>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</si>
  <si>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</si>
  <si>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</si>
  <si>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</si>
  <si>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</si>
  <si>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</si>
  <si>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</si>
  <si>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</si>
  <si>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</si>
  <si>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</si>
  <si>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</si>
  <si>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</si>
  <si>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</si>
  <si>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</si>
  <si>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</si>
  <si>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</si>
  <si>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</si>
  <si>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</si>
  <si>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</si>
  <si>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</si>
  <si>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</si>
  <si>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</si>
  <si>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</si>
  <si>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</si>
  <si>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</si>
  <si>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</si>
  <si>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</si>
  <si>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</si>
  <si>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</si>
  <si>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</si>
  <si>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</si>
  <si>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</si>
  <si>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</si>
  <si>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</si>
  <si>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</si>
  <si>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</si>
  <si>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</si>
  <si>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</si>
  <si>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</si>
  <si>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</si>
  <si>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</si>
  <si>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</si>
  <si>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</si>
  <si>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</si>
  <si>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</si>
  <si>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</si>
  <si>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</si>
  <si>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</si>
  <si>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</si>
  <si>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</si>
  <si>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</si>
  <si>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</si>
  <si>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</si>
  <si>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</si>
  <si>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</si>
  <si>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</si>
  <si>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</si>
  <si>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</si>
  <si>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</si>
  <si>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</si>
  <si>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</si>
  <si>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</si>
  <si>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</si>
  <si>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</si>
  <si>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</si>
  <si>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</si>
  <si>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</si>
  <si>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</si>
  <si>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</si>
  <si>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</si>
  <si>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</si>
  <si>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</si>
  <si>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</si>
  <si>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</si>
  <si>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</si>
  <si>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</si>
  <si>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</si>
  <si>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</si>
  <si>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</si>
  <si>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</si>
  <si>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</si>
  <si>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</si>
  <si>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</si>
  <si>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</si>
  <si>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</si>
  <si>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</si>
  <si>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</si>
  <si>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</si>
  <si>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</si>
  <si>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</si>
  <si>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</si>
  <si>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</si>
  <si>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</si>
  <si>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</si>
  <si>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</si>
  <si>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</si>
  <si>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</si>
  <si>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</si>
  <si>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</si>
  <si>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</si>
  <si>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</si>
  <si>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</si>
  <si>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</si>
  <si>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</si>
  <si>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</si>
  <si>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</si>
  <si>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</si>
  <si>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</si>
  <si>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</si>
  <si>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</si>
  <si>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</si>
  <si>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</si>
  <si>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</si>
  <si>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</si>
  <si>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</si>
  <si>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</si>
  <si>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</si>
  <si>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</si>
  <si>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</si>
  <si>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</si>
  <si>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</si>
  <si>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</si>
  <si>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</si>
  <si>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</si>
  <si>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</si>
  <si>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</si>
  <si>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</si>
  <si>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</si>
  <si>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</si>
  <si>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</si>
  <si>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</si>
  <si>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</si>
  <si>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</si>
  <si>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</si>
  <si>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</si>
  <si>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</si>
  <si>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</si>
  <si>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</si>
  <si>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</si>
  <si>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</si>
  <si>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</si>
  <si>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</si>
  <si>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</si>
  <si>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</si>
  <si>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</si>
  <si>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</si>
  <si>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</si>
  <si>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</si>
  <si>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</si>
  <si>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</si>
  <si>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</si>
  <si>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</si>
  <si>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</si>
  <si>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</si>
  <si>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</si>
  <si>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</si>
  <si>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</si>
  <si>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</si>
  <si>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</si>
  <si>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</si>
  <si>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</si>
  <si>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</si>
  <si>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</si>
  <si>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</si>
  <si>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</si>
  <si>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</si>
  <si>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</si>
  <si>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</si>
  <si>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</si>
  <si>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</si>
  <si>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</si>
  <si>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</si>
  <si>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</si>
  <si>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</si>
  <si>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</si>
  <si>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</si>
  <si>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</si>
  <si>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</si>
  <si>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</si>
  <si>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</si>
  <si>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</si>
  <si>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</si>
  <si>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</si>
  <si>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</si>
  <si>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</si>
  <si>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</si>
  <si>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</si>
  <si>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</si>
  <si>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</si>
  <si>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</si>
  <si>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</si>
  <si>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</si>
  <si>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</si>
  <si>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</si>
  <si>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</si>
  <si>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</si>
  <si>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</si>
  <si>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</si>
  <si>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</si>
  <si>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</si>
  <si>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</si>
  <si>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</si>
  <si>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</si>
  <si>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</si>
  <si>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</si>
  <si>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</si>
  <si>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</si>
  <si>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</si>
  <si>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</si>
  <si>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</si>
  <si>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</si>
  <si>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</si>
  <si>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</si>
  <si>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</si>
  <si>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</si>
  <si>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</si>
  <si>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</si>
  <si>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</si>
  <si>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</si>
  <si>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</si>
  <si>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</si>
  <si>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</si>
  <si>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</si>
  <si>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</si>
  <si>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</si>
  <si>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</si>
  <si>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</si>
  <si>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</si>
  <si>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</si>
  <si>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</si>
  <si>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</si>
  <si>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</si>
  <si>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</si>
  <si>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</si>
  <si>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</si>
  <si>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</si>
  <si>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</si>
  <si>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</si>
  <si>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</si>
  <si>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</si>
  <si>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</si>
  <si>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</si>
  <si>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</si>
  <si>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</si>
  <si>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</si>
  <si>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</si>
  <si>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</si>
  <si>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</si>
  <si>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</si>
  <si>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</si>
  <si>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</si>
  <si>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</si>
  <si>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</si>
  <si>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</si>
  <si>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</si>
  <si>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</si>
  <si>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</si>
  <si>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</si>
  <si>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</si>
  <si>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</si>
  <si>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</si>
  <si>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</si>
  <si>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</si>
  <si>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</si>
  <si>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</si>
  <si>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</si>
  <si>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</si>
  <si>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</si>
  <si>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</si>
  <si>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</si>
  <si>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</si>
  <si>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</si>
  <si>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</si>
  <si>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</si>
  <si>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</si>
  <si>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</si>
  <si>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</si>
  <si>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</si>
  <si>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</si>
  <si>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</si>
  <si>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</si>
  <si>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</si>
  <si>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</si>
  <si>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</si>
  <si>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</si>
  <si>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</si>
  <si>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</si>
  <si>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</si>
  <si>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</si>
  <si>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</si>
  <si>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</si>
  <si>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</si>
  <si>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</si>
  <si>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</si>
  <si>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</si>
  <si>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</si>
  <si>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</si>
  <si>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</si>
  <si>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</si>
  <si>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</si>
  <si>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</si>
  <si>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</si>
  <si>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</si>
  <si>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</si>
  <si>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</si>
  <si>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</si>
  <si>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</si>
  <si>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</si>
  <si>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</si>
  <si>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</si>
  <si>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</si>
  <si>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</si>
  <si>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</si>
  <si>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</si>
  <si>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</si>
  <si>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</si>
  <si>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</si>
  <si>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</si>
  <si>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</si>
  <si>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</si>
  <si>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</si>
  <si>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</si>
  <si>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</si>
  <si>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</si>
  <si>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</si>
  <si>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</si>
  <si>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</si>
  <si>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</si>
  <si>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</si>
  <si>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</si>
  <si>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</si>
  <si>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</si>
  <si>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</si>
  <si>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</si>
  <si>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</si>
  <si>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</si>
  <si>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</si>
  <si>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</si>
  <si>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</si>
  <si>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</si>
  <si>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</si>
  <si>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</si>
  <si>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</si>
  <si>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</si>
  <si>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</si>
  <si>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</si>
  <si>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</si>
  <si>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</si>
  <si>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</si>
  <si>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</si>
  <si>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</si>
  <si>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</si>
  <si>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</si>
  <si>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</si>
  <si>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</si>
  <si>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</si>
  <si>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</si>
  <si>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</si>
  <si>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</si>
  <si>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</si>
  <si>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</si>
  <si>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</si>
  <si>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</si>
  <si>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</si>
  <si>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</si>
  <si>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</si>
  <si>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</si>
  <si>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</si>
  <si>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</si>
  <si>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</si>
  <si>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</si>
  <si>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</si>
  <si>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</si>
  <si>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</si>
  <si>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</si>
  <si>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</si>
  <si>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</si>
  <si>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</si>
  <si>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</si>
  <si>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</si>
  <si>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</si>
  <si>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</si>
  <si>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</si>
  <si>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</si>
  <si>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</si>
  <si>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</si>
  <si>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</si>
  <si>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</si>
  <si>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</si>
  <si>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</si>
  <si>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</si>
  <si>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</si>
  <si>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</si>
  <si>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</si>
  <si>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</si>
  <si>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</si>
  <si>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</si>
  <si>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</si>
  <si>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</si>
  <si>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</si>
  <si>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</si>
  <si>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</si>
  <si>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</si>
  <si>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</si>
  <si>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</si>
  <si>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</si>
  <si>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</si>
  <si>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</si>
  <si>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</si>
  <si>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</si>
  <si>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</si>
  <si>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</si>
  <si>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</si>
  <si>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</si>
  <si>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</si>
  <si>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</si>
  <si>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</si>
  <si>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</si>
  <si>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</si>
  <si>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</si>
  <si>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</si>
  <si>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</si>
  <si>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</si>
  <si>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</si>
  <si>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</si>
  <si>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</si>
  <si>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</si>
  <si>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</si>
  <si>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</si>
  <si>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</si>
  <si>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</si>
  <si>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</si>
  <si>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</si>
  <si>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</si>
  <si>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</si>
  <si>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</si>
  <si>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</si>
  <si>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</si>
  <si>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</si>
  <si>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</si>
  <si>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</si>
  <si>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</si>
  <si>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</si>
  <si>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</si>
  <si>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</si>
  <si>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</si>
  <si>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</si>
  <si>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</si>
  <si>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</si>
  <si>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</si>
  <si>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</si>
  <si>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</si>
  <si>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</si>
  <si>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</si>
  <si>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</si>
  <si>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</si>
  <si>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</si>
  <si>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</si>
  <si>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</si>
  <si>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</si>
  <si>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</si>
  <si>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</si>
  <si>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</si>
  <si>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</si>
  <si>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</si>
  <si>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</si>
  <si>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</si>
  <si>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</si>
  <si>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</si>
  <si>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</si>
  <si>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</si>
  <si>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</si>
  <si>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</si>
  <si>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</si>
  <si>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</si>
  <si>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</si>
  <si>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</si>
  <si>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</si>
  <si>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</si>
  <si>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</si>
  <si>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</si>
  <si>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</si>
  <si>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</si>
  <si>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</si>
  <si>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</si>
  <si>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</si>
  <si>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</si>
  <si>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</si>
  <si>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</si>
  <si>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</si>
  <si>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</si>
  <si>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</si>
  <si>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</si>
  <si>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</si>
  <si>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</si>
  <si>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</si>
  <si>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</si>
  <si>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</si>
  <si>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</si>
  <si>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</si>
  <si>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</si>
  <si>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</si>
  <si>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</si>
  <si>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</si>
  <si>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</si>
  <si>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</si>
  <si>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</si>
  <si>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</si>
  <si>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</si>
  <si>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</si>
  <si>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</si>
  <si>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</si>
  <si>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</si>
  <si>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</si>
  <si>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</si>
  <si>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</si>
  <si>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</si>
  <si>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</si>
  <si>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</si>
  <si>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</si>
  <si>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</si>
  <si>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</si>
  <si>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</si>
  <si>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</si>
  <si>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</si>
  <si>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</si>
  <si>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</si>
  <si>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</si>
  <si>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</si>
  <si>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</si>
  <si>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</si>
  <si>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</si>
  <si>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</si>
  <si>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</si>
  <si>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</si>
  <si>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</si>
  <si>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</si>
  <si>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</si>
  <si>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</si>
  <si>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</si>
  <si>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</si>
  <si>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</si>
  <si>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</si>
  <si>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</si>
  <si>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</si>
  <si>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</si>
  <si>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</si>
  <si>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</si>
  <si>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</si>
  <si>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</si>
  <si>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</si>
  <si>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</si>
  <si>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</si>
  <si>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</si>
  <si>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</si>
  <si>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</si>
  <si>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</si>
  <si>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</si>
  <si>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</si>
  <si>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</si>
  <si>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</si>
  <si>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</si>
  <si>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</si>
  <si>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</si>
  <si>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</si>
  <si>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</si>
  <si>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</si>
  <si>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</si>
  <si>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</si>
  <si>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</si>
  <si>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</si>
  <si>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</si>
  <si>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</si>
  <si>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</si>
  <si>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</si>
  <si>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</si>
  <si>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</si>
  <si>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</si>
  <si>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</si>
  <si>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</si>
  <si>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</si>
  <si>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</si>
  <si>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</si>
  <si>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</si>
  <si>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</si>
  <si>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</si>
  <si>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</si>
  <si>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</si>
  <si>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</si>
  <si>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</si>
  <si>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</si>
  <si>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</si>
  <si>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</si>
  <si>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</si>
  <si>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</si>
  <si>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</si>
  <si>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</si>
  <si>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</si>
  <si>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</si>
  <si>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</si>
  <si>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</si>
  <si>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</si>
  <si>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</si>
  <si>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</si>
  <si>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</si>
  <si>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</si>
  <si>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</si>
  <si>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</si>
  <si>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</si>
  <si>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</si>
  <si>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</si>
  <si>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</si>
  <si>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</si>
  <si>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</si>
  <si>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</si>
  <si>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</si>
  <si>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</si>
  <si>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</si>
  <si>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</si>
  <si>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</si>
  <si>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</si>
  <si>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</si>
  <si>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</si>
  <si>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</si>
  <si>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</si>
  <si>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</si>
  <si>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</si>
  <si>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</si>
  <si>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</si>
  <si>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</si>
  <si>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</si>
  <si>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</si>
  <si>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</si>
  <si>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</si>
  <si>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</si>
  <si>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</si>
  <si>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</si>
  <si>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</si>
  <si>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</si>
  <si>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</si>
  <si>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</si>
  <si>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</si>
  <si>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</si>
  <si>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</si>
  <si>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</si>
  <si>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</si>
  <si>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</si>
  <si>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</si>
  <si>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</si>
  <si>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</si>
  <si>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</si>
  <si>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</si>
  <si>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</si>
  <si>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</si>
  <si>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</si>
  <si>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</si>
  <si>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</si>
  <si>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</si>
  <si>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</si>
  <si>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</si>
  <si>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</si>
  <si>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</si>
  <si>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</si>
  <si>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</si>
  <si>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</si>
  <si>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</si>
  <si>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</si>
  <si>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</si>
  <si>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</si>
  <si>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</si>
  <si>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</si>
  <si>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</si>
  <si>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</si>
  <si>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</si>
  <si>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</si>
  <si>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</si>
  <si>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</si>
  <si>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</si>
  <si>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</si>
  <si>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</si>
  <si>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</si>
  <si>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</si>
  <si>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</si>
  <si>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</si>
  <si>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</si>
  <si>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</si>
  <si>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</si>
  <si>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</si>
  <si>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</si>
  <si>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</si>
  <si>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</si>
  <si>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</si>
  <si>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</si>
  <si>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</si>
  <si>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</si>
  <si>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</si>
  <si>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</si>
  <si>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</si>
  <si>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</si>
  <si>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</si>
  <si>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</si>
  <si>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</si>
  <si>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</si>
  <si>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</si>
  <si>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</si>
  <si>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</si>
  <si>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</si>
  <si>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</si>
  <si>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</si>
  <si>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</si>
  <si>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</si>
  <si>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</si>
  <si>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</si>
  <si>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</si>
  <si>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</si>
  <si>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</si>
  <si>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</si>
  <si>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</si>
  <si>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</si>
  <si>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</si>
  <si>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</si>
  <si>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</si>
  <si>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地下</t>
  </si>
  <si>
    <t>地上</t>
  </si>
  <si>
    <t>是</t>
  </si>
  <si>
    <t>商业</t>
    <phoneticPr fontId="7" type="noConversion"/>
  </si>
  <si>
    <t>车库</t>
    <phoneticPr fontId="7" type="noConversion"/>
  </si>
  <si>
    <t>成新度</t>
  </si>
  <si>
    <t>宗地容积率</t>
  </si>
  <si>
    <t>不临65条商业街</t>
  </si>
  <si>
    <t>通路</t>
  </si>
  <si>
    <t>通电</t>
  </si>
  <si>
    <t>通讯</t>
  </si>
  <si>
    <t>通上水</t>
  </si>
  <si>
    <t>通下水</t>
  </si>
  <si>
    <t>通热</t>
  </si>
  <si>
    <t>燃气</t>
  </si>
  <si>
    <t>平整</t>
  </si>
  <si>
    <t>与级别开发程度一致</t>
  </si>
  <si>
    <t>较好</t>
  </si>
  <si>
    <t>较差</t>
  </si>
  <si>
    <t>好</t>
  </si>
  <si>
    <t>未包含在土地购买价格中</t>
  </si>
  <si>
    <t>全部缴纳</t>
  </si>
  <si>
    <t>已包含在土地取得成本中</t>
  </si>
  <si>
    <t>成本法</t>
  </si>
  <si>
    <t>收益法</t>
  </si>
  <si>
    <t>押一</t>
  </si>
  <si>
    <t>钢混</t>
  </si>
  <si>
    <t>非生产用房</t>
  </si>
  <si>
    <t>自定义</t>
  </si>
  <si>
    <t>收益法(车位)</t>
  </si>
  <si>
    <t>收益法(车位)</t>
    <phoneticPr fontId="16" type="noConversion"/>
  </si>
  <si>
    <t>收益法（汇总）</t>
  </si>
  <si>
    <t>利息：取LPR加浮动点数</t>
  </si>
  <si>
    <t>项目模式</t>
  </si>
  <si>
    <t>售价</t>
  </si>
  <si>
    <t>正常</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</si>
</sst>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估价对象为北京市房地产，为所有。根据《国有土地使用证》[]，估价对象（分摊）出让国有建设用地使用权面积为11305.41平方米，建筑面积为68805.62平方米。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估价对象为北京市房地产,属开发建设的，该项目尚在开发建设中。根据《国有土地使用证》[]，估价对象（分摊）出让国有建设用地使用权面积为11305.41平方米，规划建筑面积为68805.62平方米。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2023年2月21日</v>
      </c>
    </row>
    <row r="13" spans="1:2" s="1203" customFormat="1">
      <c r="A13" s="1201" t="s">
        <v>529</v>
      </c>
      <c r="B13" s="1202"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68805.62</v>
      </c>
    </row>
    <row r="44" spans="1:2" s="1203" customFormat="1">
      <c r="A44" s="1201" t="s">
        <v>575</v>
      </c>
      <c r="B44" s="1202" t="str">
        <f>'预评函-3'!C2</f>
        <v>(分摊)土地面积</v>
      </c>
    </row>
    <row r="45" spans="1:2" s="1203" customFormat="1">
      <c r="A45" s="1201" t="s">
        <v>547</v>
      </c>
      <c r="B45" s="1202">
        <f>'预评函-3'!C4</f>
        <v>11305.41</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3413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2" t="s">
        <v>2583</v>
      </c>
      <c r="J2" s="3502"/>
      <c r="K2" s="3502"/>
      <c r="L2" s="3502"/>
      <c r="M2" s="3502"/>
      <c r="N2" s="3502"/>
      <c r="O2" s="3502"/>
      <c r="P2" s="3502"/>
      <c r="Q2" s="3502"/>
      <c r="R2" s="3502"/>
    </row>
    <row r="3" spans="1:18">
      <c r="A3" s="3020" t="s">
        <v>2504</v>
      </c>
      <c r="B3" s="3021">
        <f>项目基本情况!D3</f>
        <v>44978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3.82</v>
      </c>
      <c r="D5" s="3025">
        <f>IF(ISERROR(ROUND(POWER(1+E5,A5-C5)*(POWER(1+E5,C5)-1)/(POWER(1+E5,A5)-1),3)),0,ROUND(POWER(1+E5,A5-C5)*(POWER(1+E5,C5)-1)/(POWER(1+E5,A5)-1),4))</f>
        <v>0.1757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13.83</v>
      </c>
      <c r="D6" s="3025">
        <f>IF(ISERROR(ROUND(POWER(1+E6,A6-C6)*(POWER(1+E6,C6)-1)/(POWER(1+E6,A6)-1),3)),0,ROUND(POWER(1+E6,A6-C6)*(POWER(1+E6,C6)-1)/(POWER(1+E6,A6)-1),4))</f>
        <v>0.48720000000000002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33.840000000000003</v>
      </c>
      <c r="D7" s="3025">
        <f>IF(ISERROR(ROUND(POWER(1+E7,A7-C7)*(POWER(1+E7,C7)-1)/(POWER(1+E7,A7)-1),3)),0,ROUND(POWER(1+E7,A7-C7)*(POWER(1+E7,C7)-1)/(POWER(1+E7,A7)-1),4))</f>
        <v>0.78520000000000001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4"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15"/>
      <c r="E9" s="2394" t="s">
        <v>43</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54347</v>
      </c>
      <c r="E13" s="856"/>
      <c r="F13" s="856">
        <v>57999</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25.66</v>
      </c>
      <c r="E15" s="2410" t="str">
        <f>IF(A13="出让",IF(E13="","",ROUNDDOWN(MIN((E13-$D$3)/365,E14),2)),E14)</f>
        <v/>
      </c>
      <c r="F15" s="2410">
        <f>IF(A13="出让",IF(F13="","",ROUNDDOWN(MIN((F13-$D$3)/365,F14),2)),F14)</f>
        <v>35.67</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1"/>
      <c r="C16" s="3522"/>
      <c r="D16" s="3523"/>
      <c r="E16" s="2413" t="s">
        <v>2194</v>
      </c>
      <c r="F16" s="3524"/>
      <c r="G16" s="3525"/>
      <c r="H16" s="3525"/>
      <c r="I16" s="3526"/>
      <c r="J16" s="2439"/>
      <c r="K16" s="2617"/>
      <c r="L16" s="2451"/>
      <c r="M16" s="2451"/>
      <c r="N16" s="2509"/>
      <c r="O16" s="2451"/>
      <c r="P16" s="2509"/>
      <c r="Q16" s="2439"/>
      <c r="R16" s="2439"/>
    </row>
    <row r="17" spans="1:28">
      <c r="A17" s="313" t="s">
        <v>2195</v>
      </c>
      <c r="B17" s="302" t="s">
        <v>2196</v>
      </c>
      <c r="C17" s="8">
        <f>'数据-汇总表'!E3</f>
        <v>68805.62</v>
      </c>
      <c r="D17" s="2322" t="s">
        <v>2197</v>
      </c>
      <c r="E17" s="3527" t="s">
        <v>2198</v>
      </c>
      <c r="F17" s="3528"/>
      <c r="G17" s="3528"/>
      <c r="H17" s="3528"/>
      <c r="I17" s="352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11305.41</v>
      </c>
      <c r="D18" s="1092" t="s">
        <v>2201</v>
      </c>
      <c r="E18" s="3530" t="s">
        <v>2202</v>
      </c>
      <c r="F18" s="3531"/>
      <c r="G18" s="3531"/>
      <c r="H18" s="3531"/>
      <c r="I18" s="353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7" t="s">
        <v>2206</v>
      </c>
      <c r="C20" s="3518"/>
      <c r="D20" s="3519" t="s">
        <v>2207</v>
      </c>
      <c r="E20" s="3520"/>
      <c r="F20" s="2647" t="s">
        <v>1056</v>
      </c>
      <c r="G20" s="2664"/>
      <c r="H20" s="2664"/>
      <c r="I20" s="2664"/>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5"/>
      <c r="B30" s="302" t="s">
        <v>2218</v>
      </c>
      <c r="C30" s="3506"/>
      <c r="D30" s="3507"/>
      <c r="E30" s="2664"/>
      <c r="F30" s="2664"/>
      <c r="G30" s="2664"/>
      <c r="H30" s="2664"/>
      <c r="I30" s="2664"/>
      <c r="J30" s="2439"/>
      <c r="K30" s="2616"/>
      <c r="L30" s="2613"/>
      <c r="M30" s="2613"/>
      <c r="N30" s="2439"/>
      <c r="O30" s="2450"/>
      <c r="P30" s="2439"/>
      <c r="Q30" s="2439"/>
      <c r="R30" s="2439"/>
      <c r="S30" s="2439"/>
      <c r="T30" s="2439"/>
      <c r="U30" s="2439"/>
      <c r="V30" s="2439"/>
    </row>
    <row r="31" spans="1:28">
      <c r="A31" s="350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3" t="s">
        <v>2228</v>
      </c>
      <c r="T34" s="2428" t="str">
        <f>NUMBERSTRING(7-K34,1)&amp;"通"</f>
        <v>七通</v>
      </c>
      <c r="U34" s="2439"/>
      <c r="V34" s="2439"/>
    </row>
    <row r="35" spans="1:30">
      <c r="A35" s="2429"/>
      <c r="B35" s="3510" t="s">
        <v>2229</v>
      </c>
      <c r="C35" s="3510"/>
      <c r="D35" s="3510"/>
      <c r="E35" s="351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144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137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11305.41</v>
      </c>
      <c r="B3" s="11">
        <f>IF(C3="否",G5-AT5,G5)</f>
        <v>68805.62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68805.62</v>
      </c>
      <c r="H5" s="13">
        <f t="shared" ref="H5:AT5" si="0">SUM(H13:H656)</f>
        <v>68185.06</v>
      </c>
      <c r="I5" s="13">
        <f t="shared" si="0"/>
        <v>37408.559999999998</v>
      </c>
      <c r="J5" s="13">
        <f t="shared" si="0"/>
        <v>0</v>
      </c>
      <c r="K5" s="13">
        <f t="shared" si="0"/>
        <v>9383.2000000000007</v>
      </c>
      <c r="L5" s="13">
        <f t="shared" si="0"/>
        <v>0</v>
      </c>
      <c r="M5" s="13">
        <f t="shared" si="0"/>
        <v>21393.3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620.55999999999995</v>
      </c>
      <c r="AD5" s="13">
        <f t="shared" si="0"/>
        <v>0</v>
      </c>
      <c r="AE5" s="13">
        <f t="shared" si="0"/>
        <v>0</v>
      </c>
      <c r="AF5" s="13">
        <f t="shared" si="0"/>
        <v>0</v>
      </c>
      <c r="AG5" s="13">
        <f t="shared" si="0"/>
        <v>0</v>
      </c>
      <c r="AH5" s="13">
        <f t="shared" si="0"/>
        <v>0</v>
      </c>
      <c r="AI5" s="13">
        <f t="shared" si="0"/>
        <v>0</v>
      </c>
      <c r="AJ5" s="13">
        <f t="shared" si="0"/>
        <v>0</v>
      </c>
      <c r="AK5" s="13">
        <f t="shared" si="0"/>
        <v>0</v>
      </c>
      <c r="AL5" s="13">
        <f t="shared" si="0"/>
        <v>620.55999999999995</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68805.62</v>
      </c>
      <c r="BA5" s="15">
        <f t="shared" si="1"/>
        <v>68185.06</v>
      </c>
      <c r="BB5" s="15">
        <f t="shared" si="1"/>
        <v>37408.559999999998</v>
      </c>
      <c r="BC5" s="15">
        <f t="shared" si="1"/>
        <v>9383.2000000000007</v>
      </c>
      <c r="BD5" s="15">
        <f t="shared" si="1"/>
        <v>21393.3</v>
      </c>
      <c r="BE5" s="15">
        <f t="shared" si="1"/>
        <v>0</v>
      </c>
      <c r="BF5" s="15">
        <f t="shared" si="1"/>
        <v>0</v>
      </c>
      <c r="BG5" s="15">
        <f t="shared" si="1"/>
        <v>0</v>
      </c>
      <c r="BH5" s="15">
        <f t="shared" si="1"/>
        <v>0</v>
      </c>
      <c r="BI5" s="15">
        <f t="shared" si="1"/>
        <v>0</v>
      </c>
      <c r="BJ5" s="15">
        <f t="shared" si="1"/>
        <v>0</v>
      </c>
      <c r="BK5" s="15">
        <f t="shared" si="1"/>
        <v>0</v>
      </c>
      <c r="BL5" s="15">
        <f t="shared" si="1"/>
        <v>620.55999999999995</v>
      </c>
      <c r="BM5" s="15">
        <f t="shared" si="1"/>
        <v>0</v>
      </c>
      <c r="BN5" s="15">
        <f t="shared" si="1"/>
        <v>0</v>
      </c>
      <c r="BO5" s="15">
        <f t="shared" si="1"/>
        <v>0</v>
      </c>
      <c r="BP5" s="15">
        <f t="shared" si="1"/>
        <v>0</v>
      </c>
      <c r="BQ5" s="15">
        <f t="shared" si="1"/>
        <v>620.55999999999995</v>
      </c>
      <c r="BR5" s="15">
        <f t="shared" si="1"/>
        <v>0</v>
      </c>
      <c r="BS5" s="15">
        <f t="shared" si="1"/>
        <v>0</v>
      </c>
      <c r="BT5" s="16">
        <f t="shared" si="1"/>
        <v>0</v>
      </c>
    </row>
    <row r="6" spans="1:72" s="1589" customFormat="1" ht="12.75">
      <c r="A6" s="12" t="s">
        <v>1072</v>
      </c>
      <c r="B6" s="1586"/>
      <c r="C6" s="1586"/>
      <c r="D6" s="1587"/>
      <c r="E6" s="13">
        <f>H6+AC6+AT6</f>
        <v>11305.41</v>
      </c>
      <c r="F6" s="13" t="s">
        <v>0</v>
      </c>
      <c r="G6" s="13" t="s">
        <v>1</v>
      </c>
      <c r="H6" s="17">
        <f>SUMIF(I$12:AB$12,"总值",I6:AB6)</f>
        <v>11203.45</v>
      </c>
      <c r="I6" s="13">
        <f t="shared" ref="I6:AB6" si="2">ROUND($A$3*I5/$B$3,2)</f>
        <v>6146.58</v>
      </c>
      <c r="J6" s="13">
        <f t="shared" si="2"/>
        <v>0</v>
      </c>
      <c r="K6" s="13">
        <f t="shared" si="2"/>
        <v>1541.75</v>
      </c>
      <c r="L6" s="13">
        <f t="shared" si="2"/>
        <v>0</v>
      </c>
      <c r="M6" s="13">
        <f t="shared" si="2"/>
        <v>3515.12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101.96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101.96</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11305.41</v>
      </c>
      <c r="AZ6" s="13" t="s">
        <v>2</v>
      </c>
      <c r="BA6" s="13">
        <f>ROUND($AY$6*BA5/$AZ$5,2)</f>
        <v>11203.45</v>
      </c>
      <c r="BB6" s="13">
        <f>ROUND($AY$6*BB5/$AZ$5,2)</f>
        <v>6146.58</v>
      </c>
      <c r="BC6" s="13">
        <f t="shared" ref="BC6:BH6" si="4">ROUND($AY$6*BC5/$AZ$5,2)</f>
        <v>1541.75</v>
      </c>
      <c r="BD6" s="13">
        <f t="shared" si="4"/>
        <v>3515.12</v>
      </c>
      <c r="BE6" s="13">
        <f t="shared" si="4"/>
        <v>0</v>
      </c>
      <c r="BF6" s="13">
        <f t="shared" si="4"/>
        <v>0</v>
      </c>
      <c r="BG6" s="13">
        <f t="shared" si="4"/>
        <v>0</v>
      </c>
      <c r="BH6" s="13">
        <f t="shared" si="4"/>
        <v>0</v>
      </c>
      <c r="BI6" s="13">
        <f t="shared" ref="BI6:BT6" si="5">ROUND($AY$6*BI5/$AZ$5,2)</f>
        <v>0</v>
      </c>
      <c r="BJ6" s="13">
        <f t="shared" si="5"/>
        <v>0</v>
      </c>
      <c r="BK6" s="13">
        <f t="shared" si="5"/>
        <v>0</v>
      </c>
      <c r="BL6" s="13">
        <f t="shared" si="5"/>
        <v>101.96</v>
      </c>
      <c r="BM6" s="13">
        <f t="shared" si="5"/>
        <v>0</v>
      </c>
      <c r="BN6" s="13">
        <f t="shared" si="5"/>
        <v>0</v>
      </c>
      <c r="BO6" s="13">
        <f t="shared" si="5"/>
        <v>0</v>
      </c>
      <c r="BP6" s="13">
        <f t="shared" si="5"/>
        <v>0</v>
      </c>
      <c r="BQ6" s="13">
        <f t="shared" si="5"/>
        <v>101.96</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3383</v>
      </c>
      <c r="L9" s="809"/>
      <c r="M9" s="1603" t="s">
        <v>3383</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3340</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11305.41</v>
      </c>
      <c r="F13" s="29"/>
      <c r="G13" s="30">
        <f>H13+AC13+AT13</f>
        <v>68805.62</v>
      </c>
      <c r="H13" s="17">
        <f>SUMIF(I$12:AB$12,"总值",I13:AB13)</f>
        <v>68185.06</v>
      </c>
      <c r="I13" s="1626">
        <v>37408.559999999998</v>
      </c>
      <c r="J13" s="1626"/>
      <c r="K13" s="1626">
        <v>9383.2000000000007</v>
      </c>
      <c r="L13" s="1626"/>
      <c r="M13" s="1626">
        <f>30776.5-K13</f>
        <v>21393.3</v>
      </c>
      <c r="N13" s="1626"/>
      <c r="O13" s="1626"/>
      <c r="P13" s="1626"/>
      <c r="Q13" s="1626"/>
      <c r="R13" s="1626"/>
      <c r="S13" s="1626"/>
      <c r="T13" s="1626"/>
      <c r="U13" s="1626"/>
      <c r="V13" s="1626"/>
      <c r="W13" s="1626"/>
      <c r="X13" s="1626"/>
      <c r="Y13" s="1626"/>
      <c r="Z13" s="1626"/>
      <c r="AA13" s="1626"/>
      <c r="AB13" s="1626"/>
      <c r="AC13" s="13">
        <f>SUMIF(AD$12:AS$12,"总值",AD13:AS13)</f>
        <v>620.55999999999995</v>
      </c>
      <c r="AD13" s="1627"/>
      <c r="AE13" s="1627"/>
      <c r="AF13" s="1627"/>
      <c r="AG13" s="1627"/>
      <c r="AH13" s="1627"/>
      <c r="AI13" s="1627"/>
      <c r="AJ13" s="1627"/>
      <c r="AK13" s="1627"/>
      <c r="AL13" s="1627">
        <v>620.55999999999995</v>
      </c>
      <c r="AM13" s="1627"/>
      <c r="AN13" s="1627"/>
      <c r="AO13" s="1627"/>
      <c r="AP13" s="1627"/>
      <c r="AQ13" s="1627"/>
      <c r="AR13" s="1627"/>
      <c r="AS13" s="1627"/>
      <c r="AT13" s="1628"/>
      <c r="AU13" s="1629"/>
      <c r="AV13" s="8">
        <f t="shared" ref="AV13:AX17" si="6">A13</f>
        <v>0</v>
      </c>
      <c r="AW13" s="8">
        <f t="shared" si="6"/>
        <v>0</v>
      </c>
      <c r="AX13" s="8">
        <f t="shared" si="6"/>
        <v>0</v>
      </c>
      <c r="AY13" s="1349">
        <f>ROUND($AY$6*AZ13/$AZ$5,2)</f>
        <v>11305.41</v>
      </c>
      <c r="AZ13" s="13">
        <f>BA13+BL13</f>
        <v>68805.62</v>
      </c>
      <c r="BA13" s="13">
        <f>SUM(BB13:BK13)</f>
        <v>68185.06</v>
      </c>
      <c r="BB13" s="13">
        <f>IF($D13="是",I13-J13,0)</f>
        <v>37408.559999999998</v>
      </c>
      <c r="BC13" s="13">
        <f>IF($D13="是",K13-L13,0)</f>
        <v>9383.2000000000007</v>
      </c>
      <c r="BD13" s="13">
        <f>IF($D13="是",M13-N13,0)</f>
        <v>21393.3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620.55999999999995</v>
      </c>
      <c r="BM13" s="13">
        <f>IF($D13="是",AD13-AE13,0)</f>
        <v>0</v>
      </c>
      <c r="BN13" s="13">
        <f>IF($D13="是",AF13-AG13,0)</f>
        <v>0</v>
      </c>
      <c r="BO13" s="13">
        <f>IF($D13="是",AH13-AI13,0)</f>
        <v>0</v>
      </c>
      <c r="BP13" s="13">
        <f>IF($D13="是",AJ13-AK13,0)</f>
        <v>0</v>
      </c>
      <c r="BQ13" s="13">
        <f>IF($D13="是",AL13-AM13,0)</f>
        <v>620.55999999999995</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11" sqref="I1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9"/>
      <c r="G2" s="2650"/>
      <c r="H2" s="2651"/>
      <c r="I2" s="2325" t="s">
        <v>1132</v>
      </c>
      <c r="J2" s="2659"/>
      <c r="K2" s="2659"/>
      <c r="L2" s="2659"/>
      <c r="M2" s="2659"/>
      <c r="N2" s="2661"/>
      <c r="O2" s="2659"/>
      <c r="P2" s="2659"/>
    </row>
    <row r="3" spans="1:16" ht="15.75" thickBot="1">
      <c r="A3" s="3543" t="s">
        <v>1105</v>
      </c>
      <c r="B3" s="3543"/>
      <c r="C3" s="3543"/>
      <c r="D3" s="43">
        <f>'数据-基础表'!AY6</f>
        <v>11305.41</v>
      </c>
      <c r="E3" s="43">
        <f>'数据-基础表'!AZ5</f>
        <v>68805.62</v>
      </c>
      <c r="F3" s="2659"/>
      <c r="G3" s="1145"/>
      <c r="H3" s="1026" t="s">
        <v>1106</v>
      </c>
      <c r="I3" s="855">
        <f>ROUND('数据-基础表'!B3/'数据-基础表'!A3,2)</f>
        <v>6.09</v>
      </c>
      <c r="J3" s="2659"/>
      <c r="K3" s="2659"/>
      <c r="L3" s="2659"/>
      <c r="M3" s="2659"/>
      <c r="N3" s="2661"/>
      <c r="O3" s="2659"/>
      <c r="P3" s="2659"/>
    </row>
    <row r="4" spans="1:16" ht="15">
      <c r="A4" s="3544"/>
      <c r="B4" s="3545"/>
      <c r="C4" s="3546"/>
      <c r="D4" s="1641" t="s">
        <v>1107</v>
      </c>
      <c r="E4" s="1642" t="s">
        <v>1108</v>
      </c>
      <c r="F4" s="2659"/>
      <c r="G4" s="2652" t="s">
        <v>1133</v>
      </c>
      <c r="H4" s="1026" t="s">
        <v>1113</v>
      </c>
      <c r="I4" s="855">
        <f>ROUND(SUMIF('数据-基础表'!I9:AS9,"地上",'数据-基础表'!I5:AS5)/'数据-基础表'!A3,2)</f>
        <v>3.36</v>
      </c>
      <c r="J4" s="2659"/>
      <c r="K4" s="2659"/>
      <c r="L4" s="2659"/>
      <c r="M4" s="2659"/>
      <c r="N4" s="2661"/>
      <c r="O4" s="2659"/>
      <c r="P4" s="2659"/>
    </row>
    <row r="5" spans="1:16">
      <c r="A5" s="44" t="s">
        <v>1109</v>
      </c>
      <c r="B5" s="3547" t="s">
        <v>1110</v>
      </c>
      <c r="C5" s="3547"/>
      <c r="D5" s="45">
        <f>ROUND($D$3*E5/$E$3,2)</f>
        <v>0</v>
      </c>
      <c r="E5" s="46">
        <f>SUMIF('数据-基础表'!$11:$11,"住宅",'数据-基础表'!$5:$5)</f>
        <v>0</v>
      </c>
      <c r="F5" s="2659"/>
      <c r="G5" s="1145"/>
      <c r="H5" s="1026" t="s">
        <v>1106</v>
      </c>
      <c r="I5" s="855">
        <f>ROUND(E31/D31,2)</f>
        <v>6.09</v>
      </c>
      <c r="J5" s="2659"/>
      <c r="K5" s="2659"/>
      <c r="L5" s="2659"/>
      <c r="M5" s="2659"/>
      <c r="N5" s="2659"/>
      <c r="O5" s="2659"/>
      <c r="P5" s="2659"/>
    </row>
    <row r="6" spans="1:16" ht="15" thickBot="1">
      <c r="A6" s="1644"/>
      <c r="B6" s="3547" t="s">
        <v>1111</v>
      </c>
      <c r="C6" s="3547"/>
      <c r="D6" s="45">
        <f>ROUND($D$3*E6/$E$3,2)</f>
        <v>11305.41</v>
      </c>
      <c r="E6" s="46">
        <f>E3-E5</f>
        <v>68805.62</v>
      </c>
      <c r="F6" s="2659"/>
      <c r="G6" s="2653" t="s">
        <v>1112</v>
      </c>
      <c r="H6" s="1146" t="s">
        <v>1113</v>
      </c>
      <c r="I6" s="2654">
        <f>ROUND(F31/D31,2)</f>
        <v>3.36</v>
      </c>
      <c r="J6" s="2659"/>
      <c r="K6" s="2659"/>
      <c r="L6" s="2659"/>
      <c r="M6" s="2659"/>
      <c r="N6" s="2659"/>
      <c r="O6" s="2659"/>
      <c r="P6" s="2659"/>
    </row>
    <row r="7" spans="1:16" ht="15.75" thickBot="1">
      <c r="A7" s="3539"/>
      <c r="B7" s="3540"/>
      <c r="C7" s="354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6146.58</v>
      </c>
      <c r="E8" s="48">
        <f>SUMIF('数据-基础表'!BB10:BK10,"地上",'数据-基础表'!BB5:BK5)</f>
        <v>37408.559999999998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1541.75</v>
      </c>
      <c r="E10" s="48">
        <f>SUMPRODUCT(('数据-基础表'!BB10:BK10="地下")*('数据-基础表'!BB11:BK11="商业")*('数据-基础表'!BB5:BK5))</f>
        <v>9383.2000000000007</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f>8*F19*365</f>
        <v>109232995.19999999</v>
      </c>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3515.12</v>
      </c>
      <c r="E13" s="48">
        <f>SUMPRODUCT(('数据-基础表'!BB10:BK10="地下")*('数据-基础表'!BB11:BK11="车库")*('数据-基础表'!BB5:BK5))</f>
        <v>21393.3</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11203.45</v>
      </c>
      <c r="E16" s="50">
        <f>SUM(E8:E15)</f>
        <v>68185.06</v>
      </c>
      <c r="F16" s="2659"/>
      <c r="G16" s="2660"/>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7688.33</v>
      </c>
      <c r="E19" s="53">
        <f t="shared" ref="E19:E26" si="1">SUM(F19:G19)</f>
        <v>46791.759999999995</v>
      </c>
      <c r="F19" s="2795">
        <f>'数据-基础表'!I13</f>
        <v>37408.559999999998</v>
      </c>
      <c r="G19" s="2796">
        <f>'数据-基础表'!K13</f>
        <v>9383.2000000000007</v>
      </c>
      <c r="H19" s="670">
        <f>ROUND($D$3*I19/$E$3,2)</f>
        <v>69.97</v>
      </c>
      <c r="I19" s="48">
        <f t="shared" ref="I19:I26" si="2">IF($I$17="自定义",P19,M19)</f>
        <v>425.86</v>
      </c>
      <c r="J19" s="1139"/>
      <c r="K19" s="1138">
        <f t="shared" ref="K19:K26" si="3">ROUND(E$28*E19/E$27,2)</f>
        <v>425.86</v>
      </c>
      <c r="L19" s="1026">
        <f t="shared" ref="L19:L26" si="4">ROUND(IF(COUNTIF(C19,"*住宅*")&gt;0,E$29*E19/E$32,0),2)</f>
        <v>0</v>
      </c>
      <c r="M19" s="1150">
        <f>K19+L19</f>
        <v>425.86</v>
      </c>
      <c r="N19" s="1668"/>
      <c r="O19" s="1669"/>
      <c r="P19" s="1150">
        <f>N19+O19</f>
        <v>0</v>
      </c>
      <c r="R19" s="1026">
        <f t="shared" ref="R19:S26" si="5">D19+H19</f>
        <v>7758.3</v>
      </c>
      <c r="S19" s="1027">
        <f t="shared" si="5"/>
        <v>47217.619999999995</v>
      </c>
    </row>
    <row r="20" spans="1:19">
      <c r="A20" s="1670"/>
      <c r="B20" s="47" t="s">
        <v>1153</v>
      </c>
      <c r="C20" s="3417" t="s">
        <v>3387</v>
      </c>
      <c r="D20" s="45">
        <f t="shared" ref="D20:D26" si="6">ROUND($D$3*E20/$E$3,2)</f>
        <v>3515.12</v>
      </c>
      <c r="E20" s="53">
        <f t="shared" si="1"/>
        <v>21393.3</v>
      </c>
      <c r="F20" s="2795"/>
      <c r="G20" s="2796">
        <f>'数据-基础表'!M13</f>
        <v>21393.3</v>
      </c>
      <c r="H20" s="670">
        <f t="shared" ref="H20:H26" si="7">ROUND($D$3*I20/$E$3,2)</f>
        <v>31.99</v>
      </c>
      <c r="I20" s="48">
        <f t="shared" si="2"/>
        <v>194.7</v>
      </c>
      <c r="J20" s="1139"/>
      <c r="K20" s="1138">
        <f t="shared" si="3"/>
        <v>194.7</v>
      </c>
      <c r="L20" s="1026">
        <f t="shared" si="4"/>
        <v>0</v>
      </c>
      <c r="M20" s="1150">
        <f t="shared" ref="M20:M26" si="8">K20+L20</f>
        <v>194.7</v>
      </c>
      <c r="N20" s="1668"/>
      <c r="O20" s="1669"/>
      <c r="P20" s="1150">
        <f t="shared" ref="P20:P26" si="9">N20+O20</f>
        <v>0</v>
      </c>
      <c r="R20" s="1026">
        <f t="shared" si="5"/>
        <v>3547.1099999999997</v>
      </c>
      <c r="S20" s="1027">
        <f t="shared" si="5"/>
        <v>21588</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11203.45</v>
      </c>
      <c r="E27" s="1141">
        <f>IF(SUM(E19:E26)='数据-基础表'!BA5,SUM(E19:E26),IF(F27="地上面积有误","面积有误","地下面积有误"))</f>
        <v>68185.06</v>
      </c>
      <c r="F27" s="1140">
        <f>IF(SUM(F19:F26)=E8,SUM(F19:F26),"地上面积有误")</f>
        <v>37408.559999999998</v>
      </c>
      <c r="G27" s="1142">
        <f>SUM(G19:G26)</f>
        <v>30776.5</v>
      </c>
      <c r="H27" s="1143">
        <f>SUM(H19:H26)</f>
        <v>101.96</v>
      </c>
      <c r="I27" s="1144">
        <f>SUM(I19:I26)</f>
        <v>620.55999999999995</v>
      </c>
      <c r="J27" s="1139"/>
      <c r="K27" s="1147">
        <f>SUM(K19:K26)</f>
        <v>620.55999999999995</v>
      </c>
      <c r="L27" s="1148">
        <f>SUM(L19:L26)</f>
        <v>0</v>
      </c>
      <c r="M27" s="1151">
        <f>SUM(M19:M26)</f>
        <v>620.55999999999995</v>
      </c>
      <c r="N27" s="1147">
        <f t="shared" ref="N27:O27" si="10">SUM(N19:N26)</f>
        <v>0</v>
      </c>
      <c r="O27" s="1148">
        <f t="shared" si="10"/>
        <v>0</v>
      </c>
      <c r="P27" s="1149">
        <f>SUM(P19:P26)</f>
        <v>0</v>
      </c>
      <c r="R27" s="1028">
        <f>IF(SUM(R19:R26)=$D$3,SUM(R19:R26),SUM(R19:R26)&amp;"误差"&amp;ROUND(SUM(R19:R26)-$D$3,2))</f>
        <v>11305.41</v>
      </c>
      <c r="S27" s="1026">
        <f>IF(SUM(S19:S26)=$E$3,SUM(S19:S26),SUM(S19:S26)&amp;"误差"&amp;ROUND(SUM(S19:S26)-E3,2))</f>
        <v>68805.62</v>
      </c>
    </row>
    <row r="28" spans="1:19">
      <c r="A28" s="1670"/>
      <c r="B28" s="47" t="s">
        <v>1155</v>
      </c>
      <c r="C28" s="1038" t="s">
        <v>1156</v>
      </c>
      <c r="D28" s="45">
        <f>ROUND($D$3*E28/$E$3,2)</f>
        <v>101.96</v>
      </c>
      <c r="E28" s="53">
        <f>SUM(F28:G28)</f>
        <v>620.55999999999995</v>
      </c>
      <c r="F28" s="56">
        <f>'数据-基础表'!BQ5+'数据-基础表'!BS5</f>
        <v>620.55999999999995</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101.96</v>
      </c>
      <c r="E30" s="1140">
        <f>SUM(E28:E29)</f>
        <v>620.55999999999995</v>
      </c>
      <c r="F30" s="1140">
        <f>SUM(F28:F29)</f>
        <v>620.55999999999995</v>
      </c>
      <c r="G30" s="1142">
        <f>SUM(G28:G29)</f>
        <v>0</v>
      </c>
      <c r="H30" s="2659"/>
      <c r="I30" s="2659"/>
      <c r="J30" s="2659"/>
      <c r="K30" s="2659"/>
      <c r="L30" s="2659"/>
      <c r="M30" s="2659"/>
      <c r="N30" s="2659"/>
      <c r="O30" s="2659"/>
      <c r="P30" s="2659"/>
    </row>
    <row r="31" spans="1:19" ht="15.75" thickBot="1">
      <c r="A31" s="1676"/>
      <c r="B31" s="1677"/>
      <c r="C31" s="835" t="s">
        <v>1158</v>
      </c>
      <c r="D31" s="676">
        <f>D27+D30</f>
        <v>11305.41</v>
      </c>
      <c r="E31" s="676">
        <f>E27+E30</f>
        <v>68805.62</v>
      </c>
      <c r="F31" s="677">
        <f>F27+F30</f>
        <v>38029.119999999995</v>
      </c>
      <c r="G31" s="678">
        <f>G27+G30</f>
        <v>30776.5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54347</v>
      </c>
      <c r="F6" s="64">
        <f>SUMIF(项目基本情况!C$12:I$12,C6,项目基本情况!C$15:I$15)</f>
        <v>25.66</v>
      </c>
      <c r="G6" s="65">
        <f>IF(ISERROR(ROUND(POWER(1+H6,D6-F6)*(POWER(1+H6,F6)-1)/(POWER(1+H6,D6)-1),3)),0,ROUND(POWER(1+H6,D6-F6)*(POWER(1+H6,F6)-1)/(POWER(1+H6,D6)-1),3))</f>
        <v>0.83199999999999996</v>
      </c>
      <c r="H6" s="732">
        <v>0.05</v>
      </c>
      <c r="I6" s="732">
        <v>5.5E-2</v>
      </c>
      <c r="J6" s="66">
        <v>7.4999999999999997E-2</v>
      </c>
      <c r="K6" s="1030">
        <f>SUMIF('数据-汇总表'!C$19:C$33,A6,'数据-汇总表'!E$19:E$33)</f>
        <v>46791.759999999995</v>
      </c>
      <c r="L6" s="733">
        <v>4000</v>
      </c>
      <c r="M6" s="67">
        <f t="shared" ref="M6:M14" si="0">ROUND(K6*L6/10000,0)</f>
        <v>18717</v>
      </c>
      <c r="N6" s="731">
        <f>ROUND(1-(2023-2011)/60,2)</f>
        <v>0.8</v>
      </c>
      <c r="O6" s="67" t="str">
        <f>IF($N$5="成新度","——",ROUND(M6*N6,0))</f>
        <v>——</v>
      </c>
      <c r="P6" s="68" t="str">
        <f>IF($N$5="成新度","——",M6-O6)</f>
        <v>——</v>
      </c>
      <c r="Q6" s="734">
        <v>0.2</v>
      </c>
      <c r="R6" s="69">
        <f ca="1">SUMIF('数据-汇总表'!C$19:C$33,A6,'数据-汇总表'!R$19:R$27)</f>
        <v>7758.3</v>
      </c>
      <c r="S6" s="51">
        <f>IF('数据-汇总表'!$I$17="按面积比例",SUMIF('数据-汇总表'!C$19:C$33,A6,'数据-汇总表'!K$19:K$33),SUMIF('数据-汇总表'!C$19:C$33,A6,'数据-汇总表'!N$19:N$33))</f>
        <v>425.86</v>
      </c>
      <c r="T6" s="1172">
        <f>ROUND($L$14*S6/10000,0)</f>
        <v>170</v>
      </c>
      <c r="U6" s="3428">
        <v>6</v>
      </c>
      <c r="V6" s="70">
        <v>0.03</v>
      </c>
      <c r="W6" s="70">
        <v>0.05</v>
      </c>
      <c r="X6" s="1040"/>
      <c r="Y6" s="71">
        <f>N6</f>
        <v>0.8</v>
      </c>
      <c r="Z6" s="72"/>
      <c r="AA6" s="66"/>
      <c r="AB6" s="66"/>
      <c r="AC6" s="1040"/>
      <c r="AD6" s="73"/>
      <c r="AE6" s="1041">
        <f ca="1">IF(AN6="",0,SUMIF(INDIRECT("'"&amp;AN6&amp;"'"&amp;"!E:E"),$AE$5,INDIRECT("'"&amp;AN6&amp;"'"&amp;"!F:F")))</f>
        <v>25.66</v>
      </c>
      <c r="AF6" s="1348"/>
      <c r="AG6" s="138">
        <f>IF(AF6="",0,AE6-AF6)</f>
        <v>0</v>
      </c>
      <c r="AH6" s="74"/>
      <c r="AI6" s="76">
        <v>365</v>
      </c>
      <c r="AJ6" s="77"/>
      <c r="AK6" s="78">
        <v>0.01</v>
      </c>
      <c r="AL6" s="79">
        <v>1.5E-3</v>
      </c>
      <c r="AM6" s="80">
        <v>0.01</v>
      </c>
      <c r="AN6" s="1715" t="s">
        <v>3407</v>
      </c>
      <c r="AO6" s="52">
        <f ca="1">SUMIF(INDIRECT("'"&amp;AN6&amp;"'"&amp;"!A:A"),"总价",INDIRECT("'"&amp;AN6&amp;"'"&amp;"!B:B"))</f>
        <v>141196</v>
      </c>
      <c r="AP6" s="1716">
        <f>IF(C6="住宅",K6*L6,0)</f>
        <v>0</v>
      </c>
      <c r="AQ6" s="52">
        <f>ROUND($L$14*$N$14*S6/10000,0)</f>
        <v>0</v>
      </c>
      <c r="AR6" s="52">
        <f>ROUND($L$14*(1-$N$14)*S6/10000,0)</f>
        <v>170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3340</v>
      </c>
      <c r="D7" s="858">
        <f>SUMIF(项目基本情况!C$12:I$12,C7,项目基本情况!C$14:I$14)</f>
        <v>50</v>
      </c>
      <c r="E7" s="857">
        <f>IF(B7="","",SUMIF(项目基本情况!C$12:I$12,C7,项目基本情况!C$13:I$13))</f>
        <v>57999</v>
      </c>
      <c r="F7" s="64">
        <f>SUMIF(项目基本情况!C$12:I$12,C7,项目基本情况!C$15:I$15)</f>
        <v>35.67</v>
      </c>
      <c r="G7" s="65">
        <f t="shared" ref="G7:G11" si="2">IF(ISERROR(ROUND(POWER(1+H7,D7-F7)*(POWER(1+H7,F7)-1)/(POWER(1+H7,D7)-1),3)),0,ROUND(POWER(1+H7,D7-F7)*(POWER(1+H7,F7)-1)/(POWER(1+H7,D7)-1),3))</f>
        <v>0.89100000000000001</v>
      </c>
      <c r="H7" s="732">
        <v>4.4999999999999998E-2</v>
      </c>
      <c r="I7" s="732">
        <v>0.05</v>
      </c>
      <c r="J7" s="66">
        <v>7.4999999999999997E-2</v>
      </c>
      <c r="K7" s="1030">
        <f>SUMIF('数据-汇总表'!C$19:C$33,A7,'数据-汇总表'!E$19:E$33)</f>
        <v>21393.3</v>
      </c>
      <c r="L7" s="733">
        <f>L6</f>
        <v>4000</v>
      </c>
      <c r="M7" s="67">
        <f t="shared" si="0"/>
        <v>8557</v>
      </c>
      <c r="N7" s="731">
        <f>N6</f>
        <v>0.8</v>
      </c>
      <c r="O7" s="67" t="str">
        <f t="shared" ref="O7:O14" si="3">IF($N$5="成新度","——",ROUND(M7*N7,0))</f>
        <v>——</v>
      </c>
      <c r="P7" s="68" t="str">
        <f t="shared" ref="P7:P14" si="4">IF($N$5="成新度","——",M7-O7)</f>
        <v>——</v>
      </c>
      <c r="Q7" s="734">
        <v>0.1</v>
      </c>
      <c r="R7" s="69">
        <f ca="1">SUMIF('数据-汇总表'!C$19:C$33,A7,'数据-汇总表'!R$19:R$27)</f>
        <v>3547.1099999999997</v>
      </c>
      <c r="S7" s="51">
        <f>IF('数据-汇总表'!$I$17="按面积比例",SUMIF('数据-汇总表'!C$19:C$33,A7,'数据-汇总表'!K$19:K$33),SUMIF('数据-汇总表'!C$19:C$33,A7,'数据-汇总表'!N$19:N$33))</f>
        <v>194.7</v>
      </c>
      <c r="T7" s="1172">
        <f t="shared" ref="T7:T13" si="5">ROUND($L$14*S7/10000,0)</f>
        <v>78</v>
      </c>
      <c r="U7" s="3428">
        <v>1200</v>
      </c>
      <c r="V7" s="70">
        <v>0.03</v>
      </c>
      <c r="W7" s="70">
        <v>0.05</v>
      </c>
      <c r="X7" s="1040"/>
      <c r="Y7" s="71">
        <f>N7</f>
        <v>0.8</v>
      </c>
      <c r="Z7" s="72"/>
      <c r="AA7" s="66"/>
      <c r="AB7" s="66"/>
      <c r="AC7" s="1040"/>
      <c r="AD7" s="73"/>
      <c r="AE7" s="1041">
        <f t="shared" ref="AE7:AE13" ca="1" si="6">IF(AN7="",0,SUMIF(INDIRECT("'"&amp;AN7&amp;"'"&amp;"!E:E"),$AE$5,INDIRECT("'"&amp;AN7&amp;"'"&amp;"!F:F")))</f>
        <v>35.67</v>
      </c>
      <c r="AF7" s="1348"/>
      <c r="AG7" s="138">
        <f t="shared" ref="AG7:AG13" si="7">IF(AF7="",0,AE7-AF7)</f>
        <v>0</v>
      </c>
      <c r="AH7" s="74">
        <f>ROUNDDOWN('数据-汇总表'!G20/35,0)</f>
        <v>611</v>
      </c>
      <c r="AI7" s="76">
        <v>12</v>
      </c>
      <c r="AJ7" s="77"/>
      <c r="AK7" s="78">
        <v>0.01</v>
      </c>
      <c r="AL7" s="79">
        <v>1.5E-3</v>
      </c>
      <c r="AM7" s="80">
        <v>0.01</v>
      </c>
      <c r="AN7" s="1715" t="s">
        <v>3412</v>
      </c>
      <c r="AO7" s="52">
        <f t="shared" ref="AO7:AO13" ca="1" si="8">SUMIF(INDIRECT("'"&amp;AN7&amp;"'"&amp;"!A:A"),"总价",INDIRECT("'"&amp;AN7&amp;"'"&amp;"!B:B"))</f>
        <v>13552</v>
      </c>
      <c r="AP7" s="1716">
        <f t="shared" ref="AP7:AP13" si="9">IF(C7="住宅",K7*L7,0)</f>
        <v>0</v>
      </c>
      <c r="AQ7" s="52">
        <f t="shared" ref="AQ7:AQ13" si="10">ROUND($L$14*$N$14*S7/10000,0)</f>
        <v>0</v>
      </c>
      <c r="AR7" s="52">
        <f t="shared" ref="AR7:AR13" si="11">ROUND($L$14*(1-$N$14)*S7/10000,0)</f>
        <v>78</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620.55999999999995</v>
      </c>
      <c r="L14" s="82">
        <f>L6</f>
        <v>4000</v>
      </c>
      <c r="M14" s="67">
        <f t="shared" si="0"/>
        <v>248</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0.85099999999999998</v>
      </c>
      <c r="H16" s="90">
        <f>ROUND(SUMPRODUCT(H6:H13,K6:K13)/SUMPRODUCT((H6:H13&gt;0)*(K6:K13)),3)</f>
        <v>4.8000000000000001E-2</v>
      </c>
      <c r="I16" s="91"/>
      <c r="J16" s="91"/>
      <c r="K16" s="92">
        <f>SUM(K6:K15)</f>
        <v>68805.62</v>
      </c>
      <c r="L16" s="93">
        <f>ROUND(M16*10000/SUM(K6:K14),0)</f>
        <v>4000</v>
      </c>
      <c r="M16" s="93">
        <f>SUM(M6:M14)</f>
        <v>27522</v>
      </c>
      <c r="N16" s="94">
        <f>ROUND(SUMPRODUCT(M6:M14,N6:N14)/M16,3)</f>
        <v>0.79300000000000004</v>
      </c>
      <c r="O16" s="93">
        <f>SUM(O6:O14)</f>
        <v>0</v>
      </c>
      <c r="P16" s="93">
        <f>SUM(P6:P14)</f>
        <v>0</v>
      </c>
      <c r="Q16" s="95">
        <f>ROUND(SUMPRODUCT(Q6:Q13,K6:K13)/SUMPRODUCT((Q6:Q13&gt;0)*(K6:K13)),2)</f>
        <v>0.17</v>
      </c>
      <c r="R16" s="1034">
        <f ca="1">SUM(R6:R13)</f>
        <v>11305.41</v>
      </c>
      <c r="S16" s="96">
        <f>SUM(S6:S13)</f>
        <v>620.55999999999995</v>
      </c>
      <c r="T16" s="97">
        <f>IF(SUMIF(T6:T13,"&lt;9E307")=M14,SUMIF(T6:T13,"&lt;9E307"),"有误，请检查")</f>
        <v>248</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1376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8" t="s">
        <v>2286</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44978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I21" sqref="I2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3406</v>
      </c>
      <c r="D4" s="1756" t="s">
        <v>3414</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v>7</v>
      </c>
      <c r="D14" s="3587">
        <v>3</v>
      </c>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4" t="s">
        <v>2131</v>
      </c>
      <c r="F18" s="3575"/>
      <c r="G18" s="3575"/>
      <c r="H18" s="3575"/>
      <c r="I18" s="3575"/>
      <c r="K18" s="302" t="s">
        <v>1289</v>
      </c>
      <c r="L18" s="302">
        <f>IF(C1="",'数据-汇总表'!E3,SUMIF(项目类型,C1,'数据-汇总表'!E17:E26)+SUMIF(项目类型,C1,'数据-汇总表'!I17:I26))</f>
        <v>68805.62</v>
      </c>
      <c r="M18" s="302">
        <f>IF(C1="",'数据-汇总表'!E3,SUMIF(项目类型,C1,'数据-汇总表'!E17:E26))</f>
        <v>68805.62</v>
      </c>
    </row>
    <row r="19" spans="1:36" ht="15">
      <c r="A19" s="1761" t="s">
        <v>1290</v>
      </c>
      <c r="B19" s="1762" t="s">
        <v>1291</v>
      </c>
      <c r="C19" s="134">
        <f ca="1">SUMIF(INDIRECT("'"&amp;C4&amp;"'"&amp;"!A:A"),结果表!B19,INDIRECT("'"&amp;C4&amp;"'"&amp;"!B:B"))</f>
        <v>207841</v>
      </c>
      <c r="D19" s="135">
        <f ca="1">SUMIF(INDIRECT("'"&amp;D4&amp;"'"&amp;"!A:A"),结果表!B19,INDIRECT("'"&amp;D4&amp;"'"&amp;"!B:B"))</f>
        <v>154748</v>
      </c>
      <c r="E19" s="1761" t="s">
        <v>1292</v>
      </c>
      <c r="F19" s="1762" t="s">
        <v>1291</v>
      </c>
      <c r="G19" s="136">
        <f ca="1">ROUND(C19*$C$18+D19*$D$18,0)</f>
        <v>191913</v>
      </c>
      <c r="H19" s="1763" t="s">
        <v>1293</v>
      </c>
      <c r="I19" s="129"/>
      <c r="K19" s="302" t="s">
        <v>1294</v>
      </c>
      <c r="L19" s="302">
        <f>IF(C1="",'数据-汇总表'!D3,SUMIF(项目类型,C1,'数据-汇总表'!D17:D26)+SUMIF(项目类型,C1,'数据-汇总表'!H17:H27))</f>
        <v>11305.41</v>
      </c>
      <c r="M19" s="302">
        <f>IF(C1="",'数据-汇总表'!D3,SUMIF(项目类型,C1,'数据-汇总表'!D17:D26))</f>
        <v>11305.41</v>
      </c>
    </row>
    <row r="20" spans="1:36" ht="15">
      <c r="A20" s="1764"/>
      <c r="B20" s="1026" t="s">
        <v>1295</v>
      </c>
      <c r="C20" s="137">
        <f ca="1">SUMIF(INDIRECT("'"&amp;C4&amp;"'"&amp;"!A:A"),结果表!B20,INDIRECT("'"&amp;C4&amp;"'"&amp;"!B:B"))</f>
        <v>30207</v>
      </c>
      <c r="D20" s="138">
        <f ca="1">SUMIF(INDIRECT("'"&amp;D4&amp;"'"&amp;"!A:A"),结果表!B20,INDIRECT("'"&amp;D4&amp;"'"&amp;"!B:B"))</f>
        <v>22491</v>
      </c>
      <c r="E20" s="1764"/>
      <c r="F20" s="1026" t="s">
        <v>1295</v>
      </c>
      <c r="G20" s="139">
        <f ca="1">ROUND(C20*$C$18+D20*$D$18,0)</f>
        <v>27892</v>
      </c>
      <c r="H20" s="808" t="s">
        <v>1296</v>
      </c>
      <c r="I20" s="129"/>
    </row>
    <row r="21" spans="1:36" ht="15" customHeight="1" thickBot="1">
      <c r="A21" s="828"/>
      <c r="B21" s="1765" t="s">
        <v>1297</v>
      </c>
      <c r="C21" s="719">
        <f ca="1">ROUND(C19*10000/L19,0)</f>
        <v>183842</v>
      </c>
      <c r="D21" s="720">
        <f ca="1">ROUND(D19*10000/L19,0)</f>
        <v>136880</v>
      </c>
      <c r="E21" s="828"/>
      <c r="F21" s="1765" t="s">
        <v>1297</v>
      </c>
      <c r="G21" s="140">
        <f ca="1">ROUND(G19*10000/L19,0)</f>
        <v>169753</v>
      </c>
      <c r="H21" s="1766" t="s">
        <v>1296</v>
      </c>
      <c r="I21" s="129"/>
    </row>
    <row r="22" spans="1:36" ht="15" thickBot="1">
      <c r="A22" s="1688" t="s">
        <v>1298</v>
      </c>
      <c r="B22" s="1767"/>
      <c r="C22" s="1768"/>
      <c r="D22" s="721">
        <f ca="1">IF(C19&lt;D19,D19/C19-1,C19/D19-1)</f>
        <v>0.3430932871507224</v>
      </c>
      <c r="E22" s="129"/>
      <c r="F22" s="129"/>
      <c r="G22" s="129"/>
      <c r="H22" s="129"/>
      <c r="I22" s="129"/>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5.04647491185702</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27892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t="e">
        <f ca="1">ROUND(H101*F45,0)</f>
        <v>#REF!</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6"/>
      <c r="I46" s="159"/>
      <c r="J46" s="2523">
        <v>1</v>
      </c>
      <c r="K46" s="3614" t="s">
        <v>1331</v>
      </c>
      <c r="L46" s="3614"/>
      <c r="M46" s="3634"/>
      <c r="N46" s="3634"/>
      <c r="O46" s="3634"/>
    </row>
    <row r="47" spans="1:15" ht="12" customHeight="1">
      <c r="A47" s="160" t="s">
        <v>1332</v>
      </c>
      <c r="B47" s="161"/>
      <c r="C47" s="162"/>
      <c r="D47" s="1087" t="s">
        <v>1333</v>
      </c>
      <c r="E47" s="302" t="s">
        <v>1334</v>
      </c>
      <c r="F47" s="163" t="s">
        <v>1335</v>
      </c>
      <c r="G47" s="2546" t="s">
        <v>1336</v>
      </c>
      <c r="H47" s="2547"/>
      <c r="I47" s="159"/>
      <c r="J47" s="2523">
        <v>2</v>
      </c>
      <c r="K47" s="3614" t="s">
        <v>1337</v>
      </c>
      <c r="L47" s="3614"/>
      <c r="M47" s="3635">
        <f>'数据-取费表'!B2</f>
        <v>44978</v>
      </c>
      <c r="N47" s="3635"/>
      <c r="O47" s="3635"/>
    </row>
    <row r="48" spans="1:15" ht="25.5">
      <c r="A48" s="3583" t="s">
        <v>1338</v>
      </c>
      <c r="B48" s="3566"/>
      <c r="C48" s="356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4" t="s">
        <v>1340</v>
      </c>
      <c r="L48" s="3614"/>
      <c r="M48" s="3636" t="e">
        <f ca="1">H101</f>
        <v>#REF!</v>
      </c>
      <c r="N48" s="3636"/>
      <c r="O48" s="3636"/>
    </row>
    <row r="49" spans="1:35" ht="25.5" customHeight="1">
      <c r="A49" s="2333" t="s">
        <v>1341</v>
      </c>
      <c r="B49" s="3550" t="s">
        <v>1342</v>
      </c>
      <c r="C49" s="3550"/>
      <c r="D49" s="1590">
        <v>0</v>
      </c>
      <c r="E49" s="324" t="s">
        <v>1343</v>
      </c>
      <c r="F49" s="2424" t="s">
        <v>28</v>
      </c>
      <c r="G49" s="3620"/>
      <c r="H49" s="2310" t="s">
        <v>2134</v>
      </c>
      <c r="I49" s="2311"/>
      <c r="J49" s="2523">
        <v>4</v>
      </c>
      <c r="K49" s="3614" t="str">
        <f>IF(项目基本情况!E8="房地产抵押价值","房地产抵押价值","抵押担保权已注销时的房地产抵押价值")</f>
        <v>房地产抵押价值</v>
      </c>
      <c r="L49" s="3614"/>
      <c r="M49" s="3636" t="str">
        <f ca="1">IF(项目基本情况!E8="房地产抵押价值",H107,H109)</f>
        <v>——</v>
      </c>
      <c r="N49" s="3636"/>
      <c r="O49" s="3636"/>
    </row>
    <row r="50" spans="1:35" ht="25.5" customHeight="1">
      <c r="A50" s="2551"/>
      <c r="B50" s="3550" t="s">
        <v>1344</v>
      </c>
      <c r="C50" s="3550"/>
      <c r="D50" s="2552"/>
      <c r="E50" s="332"/>
      <c r="F50" s="2424"/>
      <c r="G50" s="3621"/>
      <c r="H50" s="2312" t="s">
        <v>2135</v>
      </c>
      <c r="I50" s="2311"/>
      <c r="J50" s="3633" t="s">
        <v>1345</v>
      </c>
      <c r="K50" s="3633"/>
      <c r="L50" s="3633"/>
      <c r="M50" s="3633"/>
      <c r="N50" s="3633"/>
      <c r="O50" s="3633"/>
    </row>
    <row r="51" spans="1:35" ht="20.45" customHeight="1">
      <c r="A51" s="2553"/>
      <c r="B51" s="3550" t="s">
        <v>1346</v>
      </c>
      <c r="C51" s="3550"/>
      <c r="D51" s="1087"/>
      <c r="E51" s="327"/>
      <c r="F51" s="2424"/>
      <c r="G51" s="3622"/>
      <c r="H51" s="2312" t="s">
        <v>2136</v>
      </c>
      <c r="I51" s="2311"/>
      <c r="J51" s="2524" t="s">
        <v>1347</v>
      </c>
      <c r="K51" s="3614" t="s">
        <v>1348</v>
      </c>
      <c r="L51" s="3614"/>
      <c r="M51" s="2524" t="s">
        <v>1349</v>
      </c>
      <c r="N51" s="2524" t="s">
        <v>1350</v>
      </c>
      <c r="O51" s="2524" t="s">
        <v>1351</v>
      </c>
    </row>
    <row r="52" spans="1:35" ht="24" customHeight="1">
      <c r="A52" s="2335" t="s">
        <v>1352</v>
      </c>
      <c r="B52" s="3550" t="s">
        <v>1353</v>
      </c>
      <c r="C52" s="3550"/>
      <c r="D52" s="1087" t="e">
        <f ca="1">ROUND(D45*'数据-取费表'!B41/(1+'数据-取费表'!C42),0)</f>
        <v>#REF!</v>
      </c>
      <c r="E52" s="2334" t="s">
        <v>1354</v>
      </c>
      <c r="F52" s="2554">
        <f>'数据-取费表'!B41</f>
        <v>5.6000000000000001E-2</v>
      </c>
      <c r="G52" s="2555"/>
      <c r="H52" s="2544"/>
      <c r="I52" s="1807"/>
      <c r="J52" s="2523">
        <v>1</v>
      </c>
      <c r="K52" s="3615" t="s">
        <v>1355</v>
      </c>
      <c r="L52" s="3615"/>
      <c r="M52" s="2525" t="b">
        <f>D48</f>
        <v>0</v>
      </c>
      <c r="N52" s="2523" t="str">
        <f>E48</f>
        <v>销售额×税（费）率</v>
      </c>
      <c r="O52" s="2526">
        <f>F48</f>
        <v>5.6000000000000001E-2</v>
      </c>
    </row>
    <row r="53" spans="1:35" ht="12" customHeight="1">
      <c r="A53" s="2335" t="s">
        <v>1356</v>
      </c>
      <c r="B53" s="3576" t="s">
        <v>2291</v>
      </c>
      <c r="C53" s="3577"/>
      <c r="D53" s="1087" t="e">
        <f ca="1">ROUND(D45*'数据-取费表'!B41/(1+'数据-取费表'!C42),0)</f>
        <v>#REF!</v>
      </c>
      <c r="E53" s="2334" t="s">
        <v>1354</v>
      </c>
      <c r="F53" s="2554">
        <f>'数据-取费表'!B41</f>
        <v>5.6000000000000001E-2</v>
      </c>
      <c r="G53" s="2555"/>
      <c r="H53" s="2544"/>
      <c r="I53" s="1807"/>
      <c r="J53" s="2523">
        <v>2</v>
      </c>
      <c r="K53" s="3615" t="s">
        <v>1357</v>
      </c>
      <c r="L53" s="3615"/>
      <c r="M53" s="2525" t="e">
        <f t="shared" ref="M53:O54" ca="1" si="0">D55</f>
        <v>#REF!</v>
      </c>
      <c r="N53" s="2523" t="str">
        <f t="shared" si="0"/>
        <v>销售额×税（费）率</v>
      </c>
      <c r="O53" s="2526" t="str">
        <f t="shared" si="0"/>
        <v>免征</v>
      </c>
    </row>
    <row r="54" spans="1:35" ht="12" customHeight="1">
      <c r="A54" s="2335" t="s">
        <v>1358</v>
      </c>
      <c r="B54" s="3576" t="s">
        <v>2292</v>
      </c>
      <c r="C54" s="3577"/>
      <c r="D54" s="1087" t="e">
        <f ca="1">C68</f>
        <v>#REF!</v>
      </c>
      <c r="E54" s="327" t="s">
        <v>1359</v>
      </c>
      <c r="F54" s="2554">
        <f>'数据-取费表'!B41</f>
        <v>5.6000000000000001E-2</v>
      </c>
      <c r="G54" s="2555"/>
      <c r="H54" s="2556"/>
      <c r="I54" s="1807"/>
      <c r="J54" s="2523">
        <v>3</v>
      </c>
      <c r="K54" s="3615" t="s">
        <v>1360</v>
      </c>
      <c r="L54" s="3615"/>
      <c r="M54" s="2525" t="e">
        <f t="shared" ca="1" si="0"/>
        <v>#REF!</v>
      </c>
      <c r="N54" s="2523" t="str">
        <f t="shared" si="0"/>
        <v>增值额×税（费）率</v>
      </c>
      <c r="O54" s="2527" t="str">
        <f t="shared" si="0"/>
        <v>免征</v>
      </c>
    </row>
    <row r="55" spans="1:35" ht="24" customHeight="1">
      <c r="A55" s="3565" t="s">
        <v>1361</v>
      </c>
      <c r="B55" s="3566"/>
      <c r="C55" s="3566"/>
      <c r="D55" s="2324" t="e">
        <f ca="1">IF(H55="个人住宅",0,ROUND(D45*I55,0))</f>
        <v>#REF!</v>
      </c>
      <c r="E55" s="2334" t="s">
        <v>1362</v>
      </c>
      <c r="F55" s="2554" t="str">
        <f>IF(H55="正常",I55,"免征")</f>
        <v>免征</v>
      </c>
      <c r="G55" s="2555"/>
      <c r="H55" s="2550"/>
      <c r="I55" s="165">
        <f>'数据-取费表'!B49</f>
        <v>5.0000000000000001E-4</v>
      </c>
      <c r="J55" s="2523">
        <f>IF(H59="非个人房产","",4)</f>
        <v>4</v>
      </c>
      <c r="K55" s="3615" t="str">
        <f>IF(H59="非个人房产","——","个人所得税")</f>
        <v>个人所得税</v>
      </c>
      <c r="L55" s="3615"/>
      <c r="M55" s="2528" t="e">
        <f ca="1">D59</f>
        <v>#REF!</v>
      </c>
      <c r="N55" s="2040" t="str">
        <f>E59</f>
        <v>差额计税</v>
      </c>
      <c r="O55" s="2529">
        <f>F59</f>
        <v>0.01</v>
      </c>
    </row>
    <row r="56" spans="1:35" ht="24.75">
      <c r="A56" s="3565" t="s">
        <v>1363</v>
      </c>
      <c r="B56" s="3566"/>
      <c r="C56" s="3566"/>
      <c r="D56" s="2324" t="e">
        <f ca="1">IF(H56="个人住宅",D57,D58)</f>
        <v>#REF!</v>
      </c>
      <c r="E56" s="2334" t="s">
        <v>1364</v>
      </c>
      <c r="F56" s="2554" t="str">
        <f>IF(H56="正常",F58,"免征")</f>
        <v>免征</v>
      </c>
      <c r="G56" s="2557" t="s">
        <v>1365</v>
      </c>
      <c r="H56" s="2558"/>
      <c r="I56" s="1808"/>
      <c r="J56" s="2523" t="str">
        <f>IF(项目基本情况!K6="上海银行",IF(J55="",4,J55+1),"")</f>
        <v/>
      </c>
      <c r="K56" s="3638" t="str">
        <f>IF(项目基本情况!K6="上海银行","其他处置费用","")</f>
        <v/>
      </c>
      <c r="L56" s="3639"/>
      <c r="M56" s="2525" t="str">
        <f>IF(项目基本情况!K6="上海银行",M69,"")</f>
        <v/>
      </c>
      <c r="N56" s="3638" t="str">
        <f>IF(项目基本情况!K6="上海银行","包含处置中涉及的律师、诉讼、拍卖、评估等费用","")</f>
        <v/>
      </c>
      <c r="O56" s="3641"/>
    </row>
    <row r="57" spans="1:35" ht="12.75">
      <c r="A57" s="2335" t="s">
        <v>1341</v>
      </c>
      <c r="B57" s="3576" t="s">
        <v>1366</v>
      </c>
      <c r="C57" s="3577"/>
      <c r="D57" s="1590">
        <v>0</v>
      </c>
      <c r="E57" s="324" t="s">
        <v>1343</v>
      </c>
      <c r="F57" s="302"/>
      <c r="G57" s="2555"/>
      <c r="H57" s="2559"/>
      <c r="I57" s="1808"/>
      <c r="J57" s="3615">
        <f>IF(AND(J55="",J56=""),4,IF(项目基本情况!K6="上海银行",结果表!J56+1,结果表!J55+1))</f>
        <v>5</v>
      </c>
      <c r="K57" s="3615" t="s">
        <v>1367</v>
      </c>
      <c r="L57" s="2530" t="s">
        <v>1368</v>
      </c>
      <c r="M57" s="2531"/>
      <c r="N57" s="2532">
        <f ca="1">SUMIF(M52:M56,"&lt;9e307")</f>
        <v>0</v>
      </c>
      <c r="O57" s="2533"/>
      <c r="P57" s="2690" t="e">
        <f ca="1">N57/M49</f>
        <v>#VALUE!</v>
      </c>
    </row>
    <row r="58" spans="1:35" ht="24.75">
      <c r="A58" s="2335" t="s">
        <v>1352</v>
      </c>
      <c r="B58" s="3576" t="s">
        <v>1369</v>
      </c>
      <c r="C58" s="3550"/>
      <c r="D58" s="2324" t="e">
        <f ca="1">IF(H58="转让取得",C81,C97)</f>
        <v>#REF!</v>
      </c>
      <c r="E58" s="2334" t="s">
        <v>1364</v>
      </c>
      <c r="F58" s="302" t="s">
        <v>28</v>
      </c>
      <c r="G58" s="2555"/>
      <c r="H58" s="2558"/>
      <c r="I58" s="1808"/>
      <c r="J58" s="3615"/>
      <c r="K58" s="3615"/>
      <c r="L58" s="2530" t="s">
        <v>1370</v>
      </c>
      <c r="M58" s="2534"/>
      <c r="N58" s="2535" t="str">
        <f ca="1">NUMBERSTRING(INT(N57*10000),2)&amp;"元整"</f>
        <v>零元整</v>
      </c>
      <c r="O58" s="2536"/>
    </row>
    <row r="59" spans="1:35" ht="24.75" thickBot="1">
      <c r="A59" s="3618" t="s">
        <v>1371</v>
      </c>
      <c r="B59" s="3619"/>
      <c r="C59" s="361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6">
        <f>J57+1</f>
        <v>6</v>
      </c>
      <c r="K59" s="3615" t="s">
        <v>1372</v>
      </c>
      <c r="L59" s="2523" t="s">
        <v>1368</v>
      </c>
      <c r="M59" s="2537"/>
      <c r="N59" s="2538" t="e">
        <f ca="1">M49-N57</f>
        <v>#VALUE!</v>
      </c>
      <c r="O59" s="2539"/>
    </row>
    <row r="60" spans="1:35" ht="12" customHeight="1">
      <c r="A60" s="1809"/>
      <c r="B60" s="1747"/>
      <c r="C60" s="1747"/>
      <c r="D60" s="1747"/>
      <c r="E60" s="1578"/>
      <c r="F60" s="1808"/>
      <c r="G60" s="1808"/>
      <c r="H60" s="1810"/>
      <c r="I60" s="129"/>
      <c r="J60" s="3617"/>
      <c r="K60" s="3615"/>
      <c r="L60" s="2530" t="s">
        <v>1370</v>
      </c>
      <c r="M60" s="2534"/>
      <c r="N60" s="2535" t="e">
        <f ca="1">NUMBERSTRING(INT(N59*10000),2)&amp;"元整"</f>
        <v>#VALUE!</v>
      </c>
      <c r="O60" s="2536"/>
    </row>
    <row r="61" spans="1:35" ht="13.5" thickBot="1">
      <c r="A61" s="3563" t="s">
        <v>1373</v>
      </c>
      <c r="B61" s="3563"/>
      <c r="C61" s="3563"/>
      <c r="D61" s="3563"/>
      <c r="E61" s="3563"/>
      <c r="F61" s="1808"/>
      <c r="G61" s="1808"/>
      <c r="H61" s="1810"/>
      <c r="I61" s="129"/>
      <c r="J61" s="2523">
        <f>J59+1</f>
        <v>7</v>
      </c>
      <c r="K61" s="3615" t="s">
        <v>1374</v>
      </c>
      <c r="L61" s="3615"/>
      <c r="M61" s="2540"/>
      <c r="N61" s="2541" t="e">
        <f ca="1">ROUND(N59*10000/'数据-汇总表'!E3,0)</f>
        <v>#VALUE!</v>
      </c>
      <c r="O61" s="2542"/>
    </row>
    <row r="62" spans="1:35" ht="12.75">
      <c r="A62" s="3581" t="s">
        <v>1375</v>
      </c>
      <c r="B62" s="3582"/>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0"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0"/>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40"/>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40"/>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0"/>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0"/>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40"/>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1375</v>
      </c>
      <c r="B71" s="358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2" t="s">
        <v>2129</v>
      </c>
      <c r="H90" s="364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0" t="s">
        <v>1422</v>
      </c>
      <c r="F92" s="3561"/>
      <c r="G92" s="3561"/>
      <c r="H92" s="357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5" t="str">
        <f>C4</f>
        <v>成本法</v>
      </c>
      <c r="D101" s="2586" t="str">
        <f>D4</f>
        <v>收益法（汇总）</v>
      </c>
      <c r="E101" s="3637" t="s">
        <v>1431</v>
      </c>
      <c r="F101" s="3594"/>
      <c r="G101" s="1827" t="s">
        <v>1432</v>
      </c>
      <c r="H101" s="2595" t="e">
        <f ca="1">H118</f>
        <v>#REF!</v>
      </c>
      <c r="I101" s="129"/>
    </row>
    <row r="102" spans="1:35" ht="18.75" customHeight="1">
      <c r="A102" s="3596" t="s">
        <v>1433</v>
      </c>
      <c r="B102" s="2584" t="s">
        <v>1432</v>
      </c>
      <c r="C102" s="2585">
        <f ca="1">IF(D32="楼面单价",ROUND(C19,0),C19)</f>
        <v>207841</v>
      </c>
      <c r="D102" s="2586">
        <f ca="1">IF(D32="楼面单价",ROUND(D19,0),D19)</f>
        <v>154748</v>
      </c>
      <c r="E102" s="3637"/>
      <c r="F102" s="3594"/>
      <c r="G102" s="1827" t="s">
        <v>1434</v>
      </c>
      <c r="H102" s="2555" t="e">
        <f ca="1">I118</f>
        <v>#REF!</v>
      </c>
      <c r="I102" s="129"/>
    </row>
    <row r="103" spans="1:35" ht="42.75" customHeight="1">
      <c r="A103" s="3596"/>
      <c r="B103" s="2584" t="s">
        <v>1434</v>
      </c>
      <c r="C103" s="2587">
        <f ca="1">C20</f>
        <v>30207</v>
      </c>
      <c r="D103" s="2588">
        <f ca="1">D20</f>
        <v>22491</v>
      </c>
      <c r="E103" s="3631" t="s">
        <v>1435</v>
      </c>
      <c r="F103" s="3632"/>
      <c r="G103" s="1828" t="s">
        <v>1436</v>
      </c>
      <c r="H103" s="2595">
        <f>IF(D36="正常操作",H104+H105+H106,H105+H106)</f>
        <v>0</v>
      </c>
      <c r="I103" s="129"/>
    </row>
    <row r="104" spans="1:35" ht="18.75" customHeight="1">
      <c r="A104" s="359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3" t="str">
        <f>IF(项目基本情况!E8="已注销","——","3.房地产抵押价值")</f>
        <v>3.房地产抵押价值</v>
      </c>
      <c r="F107" s="3594"/>
      <c r="G107" s="1827" t="s">
        <v>1432</v>
      </c>
      <c r="H107" s="2595" t="e">
        <f ca="1">IF(E107="——","——",H101-H103)</f>
        <v>#REF!</v>
      </c>
      <c r="I107" s="129"/>
    </row>
    <row r="108" spans="1:35" ht="18.75" customHeight="1">
      <c r="A108" s="129"/>
      <c r="B108" s="129"/>
      <c r="C108" s="129"/>
      <c r="D108" s="129"/>
      <c r="E108" s="3593"/>
      <c r="F108" s="3594"/>
      <c r="G108" s="1827" t="s">
        <v>1434</v>
      </c>
      <c r="H108" s="2555">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8" t="str">
        <f>IF(E109="——","——",H101-H105-H106)</f>
        <v>——</v>
      </c>
      <c r="I109" s="129"/>
    </row>
    <row r="110" spans="1:35" ht="18.75" customHeight="1">
      <c r="A110" s="129"/>
      <c r="B110" s="129"/>
      <c r="C110" s="129"/>
      <c r="D110" s="129"/>
      <c r="E110" s="3593"/>
      <c r="F110" s="3594"/>
      <c r="G110" s="1827" t="s">
        <v>1434</v>
      </c>
      <c r="H110" s="2555"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5" t="str">
        <f>IF(E111="——","——",N59)</f>
        <v>——</v>
      </c>
      <c r="I111" s="129"/>
    </row>
    <row r="112" spans="1:35" ht="18.75" customHeight="1" thickBot="1">
      <c r="A112" s="129"/>
      <c r="B112" s="129"/>
      <c r="C112" s="129"/>
      <c r="D112" s="129"/>
      <c r="E112" s="3626"/>
      <c r="F112" s="3627"/>
      <c r="G112" s="1830" t="s">
        <v>1434</v>
      </c>
      <c r="H112" s="2599"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68805.62</v>
      </c>
      <c r="C118" s="2329">
        <f>M19</f>
        <v>11305.41</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t="e">
        <f ca="1">H107</f>
        <v>#REF!</v>
      </c>
      <c r="E122" s="3629"/>
      <c r="F122" s="3629"/>
      <c r="G122" s="3629"/>
      <c r="H122" s="3629"/>
      <c r="I122" s="3630"/>
      <c r="AA122" s="725"/>
    </row>
    <row r="123" spans="1:27" ht="18.75" customHeight="1">
      <c r="A123" s="3564" t="s">
        <v>1452</v>
      </c>
      <c r="B123" s="3564"/>
      <c r="C123" s="3564"/>
      <c r="D123" s="3604" t="e">
        <f ca="1">NUMBERSTRING(INT(D122*10000),2)&amp;"元整"</f>
        <v>#REF!</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207841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30207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126823</v>
      </c>
      <c r="D5" s="211" t="s">
        <v>1469</v>
      </c>
      <c r="E5" s="212" t="s">
        <v>1470</v>
      </c>
      <c r="F5" s="212" t="s">
        <v>1471</v>
      </c>
      <c r="G5" s="213"/>
    </row>
    <row r="6" spans="1:9" s="214" customFormat="1" ht="13.5" customHeight="1">
      <c r="A6" s="778" t="s">
        <v>1472</v>
      </c>
      <c r="B6" s="215" t="s">
        <v>1473</v>
      </c>
      <c r="C6" s="216">
        <f>基准地价修正!B2</f>
        <v>121734</v>
      </c>
      <c r="D6" s="217"/>
      <c r="E6" s="218"/>
      <c r="F6" s="218"/>
      <c r="G6" s="219"/>
    </row>
    <row r="7" spans="1:9" s="214" customFormat="1" ht="13.5" customHeight="1">
      <c r="A7" s="778" t="s">
        <v>1474</v>
      </c>
      <c r="B7" s="215" t="s">
        <v>1475</v>
      </c>
      <c r="C7" s="220">
        <f>ROUND(C6*F7,0)</f>
        <v>3713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1376</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3404</v>
      </c>
      <c r="H9" s="1137"/>
      <c r="I9" s="1858" t="s">
        <v>1479</v>
      </c>
    </row>
    <row r="10" spans="1:9" s="214" customFormat="1" ht="13.5" customHeight="1">
      <c r="A10" s="779" t="s">
        <v>356</v>
      </c>
      <c r="B10" s="224" t="s">
        <v>1480</v>
      </c>
      <c r="C10" s="225">
        <f ca="1">ROUND(D10*E10/10000,0)</f>
        <v>1376</v>
      </c>
      <c r="D10" s="845">
        <f ca="1">IF(B1="",'数据-汇总表'!E6,IF(INDIRECT("'数据-取费表'!c"&amp;$G$1)="住宅",INDIRECT("'数据-取费表'!s"&amp;$G$1),INDIRECT("'数据-取费表'!k"&amp;$G$1)+INDIRECT("'数据-取费表'!s"&amp;$G$1)))</f>
        <v>68805.62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68805.62</v>
      </c>
      <c r="E19" s="211">
        <f>'数据-取费表'!B31</f>
        <v>200</v>
      </c>
      <c r="F19" s="231"/>
      <c r="G19" s="1856" t="s">
        <v>3405</v>
      </c>
    </row>
    <row r="20" spans="1:7" s="214" customFormat="1" ht="13.5" customHeight="1">
      <c r="A20" s="255" t="s">
        <v>1493</v>
      </c>
      <c r="B20" s="210" t="s">
        <v>1494</v>
      </c>
      <c r="C20" s="232">
        <f ca="1">ROUND((C5+C19)*F20,0)</f>
        <v>2536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10850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10745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105</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21991</v>
      </c>
      <c r="D27" s="235">
        <f ca="1">C29</f>
        <v>3.3999999999999998E-3</v>
      </c>
      <c r="E27" s="236" t="s">
        <v>1514</v>
      </c>
      <c r="F27" s="246">
        <f ca="1">IF(B1="",'数据-取费表'!Q16,INDIRECT("'数据-取费表'!q"&amp;$G$1))</f>
        <v>0.17</v>
      </c>
      <c r="G27" s="247" t="s">
        <v>1515</v>
      </c>
    </row>
    <row r="28" spans="1:7" s="214" customFormat="1" ht="13.5" customHeight="1">
      <c r="A28" s="780" t="s">
        <v>346</v>
      </c>
      <c r="B28" s="248" t="s">
        <v>1516</v>
      </c>
      <c r="C28" s="249">
        <f ca="1">ROUND((C5+C19+C20)*F27*'数据-取费表'!B21/'数据-取费表'!B20,0)</f>
        <v>21991</v>
      </c>
      <c r="D28" s="235"/>
      <c r="E28" s="236"/>
      <c r="F28" s="246"/>
      <c r="G28" s="247"/>
    </row>
    <row r="29" spans="1:7" s="214" customFormat="1" ht="13.5" customHeight="1">
      <c r="A29" s="780" t="s">
        <v>347</v>
      </c>
      <c r="B29" s="248" t="s">
        <v>1517</v>
      </c>
      <c r="C29" s="238">
        <f ca="1">ROUND(C21*F27*'数据-取费表'!B21/'数据-取费表'!B20,4)</f>
        <v>3.3999999999999998E-3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175827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30137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27522</v>
      </c>
      <c r="D34" s="217"/>
      <c r="E34" s="220"/>
      <c r="F34" s="257">
        <f ca="1">IF('数据-取费表'!B24=0,1,IF(B1="",'数据-取费表'!N16,INDIRECT("'数据-取费表'!n"&amp;$G$1)))</f>
        <v>1</v>
      </c>
      <c r="G34" s="219" t="s">
        <v>1526</v>
      </c>
    </row>
    <row r="35" spans="1:7" ht="13.5" customHeight="1">
      <c r="A35" s="780" t="s">
        <v>351</v>
      </c>
      <c r="B35" s="215" t="s">
        <v>1527</v>
      </c>
      <c r="C35" s="220">
        <f ca="1">ROUND(C34*F35,0)</f>
        <v>826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1376</v>
      </c>
      <c r="D37" s="217">
        <f ca="1">D19</f>
        <v>68805.62</v>
      </c>
      <c r="E37" s="249">
        <f>'数据-取费表'!B35</f>
        <v>200</v>
      </c>
      <c r="F37" s="259"/>
      <c r="G37" s="261" t="s">
        <v>1532</v>
      </c>
    </row>
    <row r="38" spans="1:7" ht="13.5" customHeight="1">
      <c r="A38" s="780" t="s">
        <v>354</v>
      </c>
      <c r="B38" s="215" t="s">
        <v>1533</v>
      </c>
      <c r="C38" s="220">
        <f ca="1">ROUND(C34*F38,0)</f>
        <v>413</v>
      </c>
      <c r="D38" s="220"/>
      <c r="E38" s="220"/>
      <c r="F38" s="259">
        <f>'数据-取费表'!B36</f>
        <v>1.4999999999999999E-2</v>
      </c>
      <c r="G38" s="219" t="s">
        <v>1528</v>
      </c>
    </row>
    <row r="39" spans="1:7" s="214" customFormat="1" ht="13.5" customHeight="1">
      <c r="A39" s="255" t="s">
        <v>1534</v>
      </c>
      <c r="B39" s="210" t="s">
        <v>1535</v>
      </c>
      <c r="C39" s="232">
        <f ca="1">ROUND(C33*F20,0)</f>
        <v>603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1276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1251</v>
      </c>
      <c r="D42" s="238"/>
      <c r="E42" s="238"/>
      <c r="F42" s="239"/>
      <c r="G42" s="3644" t="s">
        <v>1544</v>
      </c>
    </row>
    <row r="43" spans="1:7" ht="13.5" customHeight="1">
      <c r="A43" s="780" t="s">
        <v>347</v>
      </c>
      <c r="B43" s="215" t="s">
        <v>1545</v>
      </c>
      <c r="C43" s="238">
        <f ca="1">ROUND(IF('数据-取费表'!B22&lt;=1,C39*F22*'数据-取费表'!B21/2,C39*(POWER((1+F22),'数据-取费表'!B21/2)-1)),0)</f>
        <v>25</v>
      </c>
      <c r="D43" s="238"/>
      <c r="E43" s="238"/>
      <c r="F43" s="239"/>
      <c r="G43" s="3645"/>
    </row>
    <row r="44" spans="1:7" ht="13.5" customHeight="1">
      <c r="A44" s="780" t="s">
        <v>348</v>
      </c>
      <c r="B44" s="215" t="s">
        <v>1546</v>
      </c>
      <c r="C44" s="238">
        <f ca="1">ROUND(IF('数据-取费表'!B22&lt;=1,C40*F22*'数据-取费表'!B21/2,C40*(POWER((1+F22),'数据-取费表'!B21/2)-1)),4)</f>
        <v>8.0000000000000004E-4</v>
      </c>
      <c r="D44" s="238"/>
      <c r="E44" s="238"/>
      <c r="F44" s="239"/>
      <c r="G44" s="3646"/>
    </row>
    <row r="45" spans="1:7" s="214" customFormat="1" ht="13.5" customHeight="1">
      <c r="A45" s="255" t="s">
        <v>1547</v>
      </c>
      <c r="B45" s="244" t="s">
        <v>1513</v>
      </c>
      <c r="C45" s="245">
        <f ca="1">C46</f>
        <v>5226</v>
      </c>
      <c r="D45" s="235">
        <f ca="1">C47</f>
        <v>3.3999999999999998E-3</v>
      </c>
      <c r="E45" s="236" t="s">
        <v>1539</v>
      </c>
      <c r="F45" s="246">
        <f ca="1">F27</f>
        <v>0.17</v>
      </c>
      <c r="G45" s="247" t="s">
        <v>1548</v>
      </c>
    </row>
    <row r="46" spans="1:7" s="214" customFormat="1" ht="13.5" customHeight="1">
      <c r="A46" s="780" t="s">
        <v>346</v>
      </c>
      <c r="B46" s="248" t="s">
        <v>1549</v>
      </c>
      <c r="C46" s="249">
        <f ca="1">ROUND((C33+C39)*F27,0)</f>
        <v>5226</v>
      </c>
      <c r="D46" s="263"/>
      <c r="E46" s="236"/>
      <c r="F46" s="246"/>
      <c r="G46" s="247"/>
    </row>
    <row r="47" spans="1:7" s="214" customFormat="1" ht="13.5" customHeight="1">
      <c r="A47" s="780" t="s">
        <v>347</v>
      </c>
      <c r="B47" s="248" t="s">
        <v>1550</v>
      </c>
      <c r="C47" s="238">
        <f ca="1">ROUND(C40*F27,4)</f>
        <v>3.3999999999999998E-3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40371</v>
      </c>
      <c r="D49" s="232"/>
      <c r="E49" s="232"/>
      <c r="F49" s="264"/>
      <c r="G49" s="234" t="s">
        <v>1554</v>
      </c>
    </row>
    <row r="50" spans="1:7" s="258" customFormat="1" ht="24">
      <c r="A50" s="255" t="s">
        <v>1555</v>
      </c>
      <c r="B50" s="210" t="s">
        <v>1556</v>
      </c>
      <c r="C50" s="232"/>
      <c r="D50" s="232"/>
      <c r="E50" s="232"/>
      <c r="F50" s="264">
        <f>IF('数据-取费表'!B24=0,'数据-取费表'!N16,1)</f>
        <v>0.79300000000000004</v>
      </c>
      <c r="G50" s="247" t="s">
        <v>1557</v>
      </c>
    </row>
    <row r="51" spans="1:7" ht="16.5" customHeight="1">
      <c r="A51" s="255" t="s">
        <v>1558</v>
      </c>
      <c r="B51" s="210" t="s">
        <v>1559</v>
      </c>
      <c r="C51" s="232">
        <f ca="1">ROUND(C49*F50,0)</f>
        <v>32014</v>
      </c>
      <c r="D51" s="232"/>
      <c r="E51" s="232"/>
      <c r="F51" s="264"/>
      <c r="G51" s="234" t="s">
        <v>1560</v>
      </c>
    </row>
    <row r="52" spans="1:7" s="208" customFormat="1" ht="16.5" thickBot="1">
      <c r="A52" s="265" t="s">
        <v>1561</v>
      </c>
      <c r="B52" s="266"/>
      <c r="C52" s="267">
        <f ca="1">C31+C51</f>
        <v>207841</v>
      </c>
      <c r="D52" s="266"/>
      <c r="E52" s="266"/>
      <c r="F52" s="266"/>
      <c r="G52" s="268"/>
    </row>
    <row r="55" spans="1:7" ht="15">
      <c r="B55" s="270" t="s">
        <v>1562</v>
      </c>
      <c r="C55" s="271"/>
    </row>
    <row r="56" spans="1:7">
      <c r="B56" s="273" t="s">
        <v>802</v>
      </c>
      <c r="C56" s="275">
        <f ca="1">1-C57</f>
        <v>0.84599999999999997</v>
      </c>
    </row>
    <row r="57" spans="1:7">
      <c r="B57" s="273" t="s">
        <v>803</v>
      </c>
      <c r="C57" s="274">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35828.830300000001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13761124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13761124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13761124</v>
      </c>
      <c r="D10" s="845">
        <f ca="1">IF(B1="",'数据-汇总表'!E6,IF(INDIRECT("'数据-取费表'!c"&amp;$G$1)="住宅",INDIRECT("'数据-取费表'!s"&amp;$G$1),INDIRECT("'数据-取费表'!k"&amp;$G$1)+INDIRECT("'数据-取费表'!s"&amp;$G$1)))</f>
        <v>68805.62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13761124</v>
      </c>
      <c r="D19" s="849">
        <f ca="1">D9+D10</f>
        <v>68805.62</v>
      </c>
      <c r="E19" s="211">
        <f>'数据-取费表'!B31</f>
        <v>200</v>
      </c>
      <c r="F19" s="231"/>
      <c r="G19" s="1856"/>
    </row>
    <row r="20" spans="1:7" s="214" customFormat="1" ht="13.5" customHeight="1">
      <c r="A20" s="255" t="s">
        <v>1574</v>
      </c>
      <c r="B20" s="210" t="s">
        <v>1575</v>
      </c>
      <c r="C20" s="232">
        <f ca="1">ROUND((C5+C19)*F20,0)</f>
        <v>550445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2354589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1165873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1165873</v>
      </c>
      <c r="D24" s="238"/>
      <c r="E24" s="238"/>
      <c r="F24" s="239"/>
      <c r="G24" s="240" t="s">
        <v>1586</v>
      </c>
    </row>
    <row r="25" spans="1:7" s="214" customFormat="1" ht="24">
      <c r="A25" s="780" t="s">
        <v>1476</v>
      </c>
      <c r="B25" s="215" t="s">
        <v>1587</v>
      </c>
      <c r="C25" s="1128">
        <f ca="1">ROUND(IF('数据-取费表'!B22&lt;=1,C20*F22*'数据-取费表'!B22/2,C20*(POWER((1+F22),'数据-取费表'!B22/2)-1)),0)</f>
        <v>22843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4772358</v>
      </c>
      <c r="D27" s="235">
        <f ca="1">C29</f>
        <v>3.3999999999999998E-3</v>
      </c>
      <c r="E27" s="236" t="s">
        <v>1514</v>
      </c>
      <c r="F27" s="246">
        <f ca="1">IF(B1="",'数据-取费表'!Q16,INDIRECT("'数据-取费表'!q"&amp;$G$1))</f>
        <v>0.17</v>
      </c>
      <c r="G27" s="247" t="s">
        <v>1515</v>
      </c>
    </row>
    <row r="28" spans="1:7" s="214" customFormat="1" ht="13.5" customHeight="1">
      <c r="A28" s="780" t="s">
        <v>346</v>
      </c>
      <c r="B28" s="248" t="s">
        <v>1516</v>
      </c>
      <c r="C28" s="249">
        <f ca="1">ROUND((C5+C19+C20)*F27,0)</f>
        <v>4772358</v>
      </c>
      <c r="D28" s="235"/>
      <c r="E28" s="236"/>
      <c r="F28" s="246"/>
      <c r="G28" s="247"/>
    </row>
    <row r="29" spans="1:7" s="214" customFormat="1" ht="13.5" customHeight="1">
      <c r="A29" s="780" t="s">
        <v>347</v>
      </c>
      <c r="B29" s="248" t="s">
        <v>1517</v>
      </c>
      <c r="C29" s="238">
        <f ca="1">ROUND(C21*F27,4)</f>
        <v>3.3999999999999998E-3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38156791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301368615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275222480</v>
      </c>
      <c r="D34" s="217"/>
      <c r="E34" s="220"/>
      <c r="F34" s="257"/>
      <c r="G34" s="219"/>
    </row>
    <row r="35" spans="1:7" ht="13.5" customHeight="1">
      <c r="A35" s="780" t="s">
        <v>351</v>
      </c>
      <c r="B35" s="215" t="s">
        <v>1527</v>
      </c>
      <c r="C35" s="220">
        <f ca="1">ROUND(C34*F35,0)</f>
        <v>8256674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13761124</v>
      </c>
      <c r="D37" s="217">
        <f ca="1">D19</f>
        <v>68805.62</v>
      </c>
      <c r="E37" s="249">
        <f>'数据-取费表'!B35</f>
        <v>200</v>
      </c>
      <c r="F37" s="259"/>
      <c r="G37" s="261"/>
    </row>
    <row r="38" spans="1:7" ht="13.5" customHeight="1">
      <c r="A38" s="780" t="s">
        <v>354</v>
      </c>
      <c r="B38" s="215" t="s">
        <v>1533</v>
      </c>
      <c r="C38" s="220">
        <f ca="1">ROUND(C34*F38,0)</f>
        <v>4128337</v>
      </c>
      <c r="D38" s="220"/>
      <c r="E38" s="220"/>
      <c r="F38" s="259">
        <f>'数据-取费表'!B36</f>
        <v>1.4999999999999999E-2</v>
      </c>
      <c r="G38" s="219" t="s">
        <v>1528</v>
      </c>
    </row>
    <row r="39" spans="1:7" s="214" customFormat="1" ht="13.5" customHeight="1">
      <c r="A39" s="255" t="s">
        <v>1534</v>
      </c>
      <c r="B39" s="210" t="s">
        <v>1535</v>
      </c>
      <c r="C39" s="232">
        <f ca="1">ROUND(C33*F20,0)</f>
        <v>6027372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12756934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12506798</v>
      </c>
      <c r="D42" s="238"/>
      <c r="E42" s="238"/>
      <c r="F42" s="239"/>
      <c r="G42" s="3644" t="s">
        <v>1591</v>
      </c>
    </row>
    <row r="43" spans="1:7" ht="13.5" customHeight="1">
      <c r="A43" s="780" t="s">
        <v>347</v>
      </c>
      <c r="B43" s="215" t="s">
        <v>1545</v>
      </c>
      <c r="C43" s="238">
        <f ca="1">ROUND(IF('数据-取费表'!B22&lt;=1,C39*F22*'数据-取费表'!B20/2,C39*(POWER((1+F22),'数据-取费表'!B20/2)-1)),0)</f>
        <v>250136</v>
      </c>
      <c r="D43" s="238"/>
      <c r="E43" s="238"/>
      <c r="F43" s="239"/>
      <c r="G43" s="3645"/>
    </row>
    <row r="44" spans="1:7" ht="13.5" customHeight="1">
      <c r="A44" s="780" t="s">
        <v>348</v>
      </c>
      <c r="B44" s="215" t="s">
        <v>1546</v>
      </c>
      <c r="C44" s="238">
        <f ca="1">ROUND(IF('数据-取费表'!B22&lt;=1,C40*F22*'数据-取费表'!B20/2,C40*(POWER((1+F22),'数据-取费表'!B20/2)-1)),4)</f>
        <v>8.0000000000000004E-4</v>
      </c>
      <c r="D44" s="238"/>
      <c r="E44" s="238"/>
      <c r="F44" s="239"/>
      <c r="G44" s="3646"/>
    </row>
    <row r="45" spans="1:7" s="214" customFormat="1" ht="13.5" customHeight="1">
      <c r="A45" s="255" t="s">
        <v>1547</v>
      </c>
      <c r="B45" s="244" t="s">
        <v>1513</v>
      </c>
      <c r="C45" s="245">
        <f ca="1">C46</f>
        <v>52257318</v>
      </c>
      <c r="D45" s="235">
        <f ca="1">C47</f>
        <v>3.3999999999999998E-3</v>
      </c>
      <c r="E45" s="236" t="s">
        <v>1539</v>
      </c>
      <c r="F45" s="246">
        <f ca="1">F27</f>
        <v>0.17</v>
      </c>
      <c r="G45" s="247" t="s">
        <v>1548</v>
      </c>
    </row>
    <row r="46" spans="1:7" s="214" customFormat="1" ht="13.5" customHeight="1">
      <c r="A46" s="780" t="s">
        <v>346</v>
      </c>
      <c r="B46" s="248" t="s">
        <v>1549</v>
      </c>
      <c r="C46" s="249">
        <f ca="1">ROUND((C33+C39)*F27,0)</f>
        <v>52257318</v>
      </c>
      <c r="D46" s="263"/>
      <c r="E46" s="236"/>
      <c r="F46" s="246"/>
      <c r="G46" s="247"/>
    </row>
    <row r="47" spans="1:7" s="214" customFormat="1" ht="13.5" customHeight="1">
      <c r="A47" s="780" t="s">
        <v>347</v>
      </c>
      <c r="B47" s="248" t="s">
        <v>1550</v>
      </c>
      <c r="C47" s="238">
        <f ca="1">ROUND(C40*F27,4)</f>
        <v>3.3999999999999998E-3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403696736</v>
      </c>
      <c r="D49" s="232"/>
      <c r="E49" s="232"/>
      <c r="F49" s="264"/>
      <c r="G49" s="234" t="s">
        <v>1554</v>
      </c>
    </row>
    <row r="50" spans="1:7" s="258" customFormat="1">
      <c r="A50" s="255" t="s">
        <v>1555</v>
      </c>
      <c r="B50" s="210" t="s">
        <v>1556</v>
      </c>
      <c r="C50" s="232"/>
      <c r="D50" s="232"/>
      <c r="E50" s="232"/>
      <c r="F50" s="264">
        <f>IF('数据-取费表'!B24=0,'数据-取费表'!N16,1)</f>
        <v>0.79300000000000004</v>
      </c>
      <c r="G50" s="247"/>
    </row>
    <row r="51" spans="1:7" ht="16.5" customHeight="1">
      <c r="A51" s="255" t="s">
        <v>1558</v>
      </c>
      <c r="B51" s="210" t="s">
        <v>1593</v>
      </c>
      <c r="C51" s="232">
        <f ca="1">ROUND(C49*F50,0)</f>
        <v>320131512</v>
      </c>
      <c r="D51" s="232"/>
      <c r="E51" s="232"/>
      <c r="F51" s="264"/>
      <c r="G51" s="234" t="s">
        <v>1560</v>
      </c>
    </row>
    <row r="52" spans="1:7" s="208" customFormat="1" ht="16.5" thickBot="1">
      <c r="A52" s="265" t="s">
        <v>1561</v>
      </c>
      <c r="B52" s="266"/>
      <c r="C52" s="267">
        <f ca="1">C31+C51</f>
        <v>358288303</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68805.62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68805.62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1376</v>
      </c>
      <c r="D20" s="846">
        <f ca="1">IF(C1="",'数据-汇总表'!E6,IF(INDIRECT("'数据-取费表'!c"&amp;$K$1)="住宅",INDIRECT("'数据-取费表'!s"&amp;$K$1),INDIRECT("'数据-取费表'!k"&amp;$K$1)+INDIRECT("'数据-取费表'!s"&amp;$K$1)))</f>
        <v>68805.62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59422.42</v>
      </c>
      <c r="E1" s="1995"/>
      <c r="F1" s="1995"/>
      <c r="G1" s="1995"/>
      <c r="H1" s="1995"/>
      <c r="I1" s="1995"/>
      <c r="J1" s="1995"/>
      <c r="K1" s="1119"/>
      <c r="L1" s="1996" t="s">
        <v>1928</v>
      </c>
      <c r="M1" s="863">
        <f>SUMPRODUCT((区片价!B5:B9=I2)*(区片价!C3:G3=E2)*(区片价!C5:G9))</f>
        <v>34850</v>
      </c>
      <c r="N1" s="866">
        <f>SUMPRODUCT((因素修正幅度!B5:B9=I2)*(因素修正幅度!C3:G3=E2)*(因素修正幅度!C5:G9))</f>
        <v>9.7000000000000003E-2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121734</v>
      </c>
      <c r="C2" s="1999" t="s">
        <v>1935</v>
      </c>
      <c r="D2" s="2000" t="s">
        <v>1936</v>
      </c>
      <c r="E2" s="3422"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43209</v>
      </c>
      <c r="U2" s="1213">
        <v>3538.82</v>
      </c>
      <c r="V2" s="3361">
        <f>ROUND(T2*U2/10000,0)</f>
        <v>15291</v>
      </c>
      <c r="W2" s="1216"/>
      <c r="X2" s="1216"/>
      <c r="Y2" s="1216"/>
      <c r="Z2" s="1216"/>
      <c r="AA2" s="1216"/>
      <c r="AB2" s="1216"/>
      <c r="AC2" s="1217"/>
      <c r="AD2" s="1218"/>
      <c r="AE2" s="1218"/>
      <c r="AF2" s="1218"/>
      <c r="AG2" s="1218"/>
      <c r="AH2" s="1218"/>
      <c r="AI2" s="1218"/>
      <c r="AJ2" s="1219"/>
    </row>
    <row r="3" spans="1:36" ht="15.75">
      <c r="A3" s="203" t="s">
        <v>1940</v>
      </c>
      <c r="B3" s="204">
        <f>ROUND(B2*10000/D1,0)</f>
        <v>20486</v>
      </c>
      <c r="C3" s="1999" t="s">
        <v>1941</v>
      </c>
      <c r="D3" s="2000" t="s">
        <v>1942</v>
      </c>
      <c r="E3" s="3420" t="s">
        <v>2448</v>
      </c>
      <c r="F3" s="2004" t="s">
        <v>3389</v>
      </c>
      <c r="G3" s="752">
        <f>IF(F3="宗地容积率",'数据-汇总表'!I4,IF(F3="估价对象容积率",'数据-汇总表'!I6,'数据-汇总表'!I7))</f>
        <v>3.36</v>
      </c>
      <c r="H3" s="170" t="s">
        <v>1943</v>
      </c>
      <c r="I3" s="775">
        <v>11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34304</v>
      </c>
      <c r="U3" s="1213">
        <v>3328.97</v>
      </c>
      <c r="V3" s="3361">
        <f t="shared" ref="V3:V16" si="1">ROUND(T3*U3/10000,0)</f>
        <v>11420</v>
      </c>
      <c r="W3" s="1216"/>
      <c r="X3" s="1216"/>
      <c r="Y3" s="1216"/>
      <c r="Z3" s="1216"/>
      <c r="AA3" s="1216"/>
      <c r="AB3" s="1216"/>
      <c r="AC3" s="1217"/>
      <c r="AD3" s="1218"/>
      <c r="AE3" s="1218"/>
      <c r="AF3" s="1218"/>
      <c r="AG3" s="1218"/>
      <c r="AH3" s="1218"/>
      <c r="AI3" s="1218"/>
      <c r="AJ3" s="1219"/>
    </row>
    <row r="4" spans="1:36" ht="15.75">
      <c r="A4" s="3654"/>
      <c r="B4" s="3655"/>
      <c r="C4" s="3655"/>
      <c r="D4" s="3656"/>
      <c r="E4" s="3656"/>
      <c r="F4" s="3656"/>
      <c r="G4" s="3656"/>
      <c r="H4" s="3656"/>
      <c r="I4" s="3656"/>
      <c r="J4" s="36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29641</v>
      </c>
      <c r="U4" s="1213">
        <v>4308.8599999999997</v>
      </c>
      <c r="V4" s="3361">
        <f t="shared" si="1"/>
        <v>12772</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34850</v>
      </c>
      <c r="D5" s="1339">
        <f>ROUND(C6*C17+C20,0)</f>
        <v>34850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26822</v>
      </c>
      <c r="U5" s="1213">
        <v>4362.0600000000004</v>
      </c>
      <c r="V5" s="3361">
        <f t="shared" si="1"/>
        <v>11700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25563</v>
      </c>
      <c r="U6" s="1213">
        <v>3971.16</v>
      </c>
      <c r="V6" s="3361">
        <f t="shared" si="1"/>
        <v>10151</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v>0.89219999999999999</v>
      </c>
      <c r="T7" s="3361">
        <f t="shared" si="0"/>
        <v>25353</v>
      </c>
      <c r="U7" s="1213">
        <v>3971.16</v>
      </c>
      <c r="V7" s="3361">
        <f t="shared" si="1"/>
        <v>10068</v>
      </c>
      <c r="W7" s="1358" t="s">
        <v>1955</v>
      </c>
      <c r="X7" s="1214" t="str">
        <f>G2</f>
        <v>一级</v>
      </c>
      <c r="Y7" s="1214" t="s">
        <v>1956</v>
      </c>
      <c r="Z7" s="1215">
        <f>G3</f>
        <v>3.36</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v>0.89149999999999996</v>
      </c>
      <c r="T8" s="3361">
        <f t="shared" si="0"/>
        <v>25333</v>
      </c>
      <c r="U8" s="1213">
        <v>3185.77</v>
      </c>
      <c r="V8" s="3361">
        <f t="shared" si="1"/>
        <v>8071</v>
      </c>
      <c r="W8" s="3651" t="s">
        <v>1960</v>
      </c>
      <c r="X8" s="36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v>0.89059999999999995</v>
      </c>
      <c r="T9" s="3361">
        <f t="shared" si="0"/>
        <v>25307</v>
      </c>
      <c r="U9" s="1213">
        <v>3185.77</v>
      </c>
      <c r="V9" s="3361">
        <f t="shared" si="1"/>
        <v>8062</v>
      </c>
      <c r="W9" s="3653"/>
      <c r="X9" s="3362" t="s">
        <v>3275</v>
      </c>
      <c r="Y9" s="3363">
        <v>12</v>
      </c>
      <c r="Z9" s="3364">
        <f>$Y$9</f>
        <v>12</v>
      </c>
      <c r="AA9" s="3364">
        <f t="shared" ref="AA9:AJ9" si="2">$Y$9</f>
        <v>12</v>
      </c>
      <c r="AB9" s="3364">
        <f t="shared" si="2"/>
        <v>12</v>
      </c>
      <c r="AC9" s="3364">
        <f t="shared" si="2"/>
        <v>12</v>
      </c>
      <c r="AD9" s="3364">
        <f t="shared" si="2"/>
        <v>12</v>
      </c>
      <c r="AE9" s="3364">
        <f t="shared" si="2"/>
        <v>12</v>
      </c>
      <c r="AF9" s="3364">
        <f t="shared" si="2"/>
        <v>12</v>
      </c>
      <c r="AG9" s="3364">
        <f t="shared" si="2"/>
        <v>12</v>
      </c>
      <c r="AH9" s="3364">
        <f t="shared" si="2"/>
        <v>12</v>
      </c>
      <c r="AI9" s="3364">
        <f t="shared" si="2"/>
        <v>12</v>
      </c>
      <c r="AJ9" s="3364">
        <f t="shared" si="2"/>
        <v>12</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v>0.88970000000000005</v>
      </c>
      <c r="T10" s="3361">
        <f t="shared" si="0"/>
        <v>25282</v>
      </c>
      <c r="U10" s="1213">
        <v>2711.97</v>
      </c>
      <c r="V10" s="3361">
        <f t="shared" si="1"/>
        <v>6856</v>
      </c>
      <c r="W10" s="3653"/>
      <c r="X10" s="3362">
        <v>6</v>
      </c>
      <c r="Y10" s="3365">
        <f>ROUND((-0.5556*(Y9^2)-0.2719*Y9+8944)*(10^(-4)),4)</f>
        <v>0.8861</v>
      </c>
      <c r="Z10" s="3365">
        <f>ROUND((-0.5556*(Z9^2)-0.2719*Z9+8944)*(10^(-4)),4)</f>
        <v>0.8861</v>
      </c>
      <c r="AA10" s="3365">
        <f>ROUND((-0.7912*(AA9^2)-11.3794*AA9+8482)*(10^(-4)),4)</f>
        <v>0.82320000000000004</v>
      </c>
      <c r="AB10" s="3365">
        <f>ROUND((-0.7912*(AB9^2)-11.3794*AB9+8482)*(10^(-4)),4)</f>
        <v>0.82320000000000004</v>
      </c>
      <c r="AC10" s="3365">
        <f>ROUND((-0.7912*(AC9^2)-11.3794*AC9+8482)*(10^(-4)),4)</f>
        <v>0.82320000000000004</v>
      </c>
      <c r="AD10" s="3365">
        <f>ROUND((-0.7912*(AD9^2)-11.3794*AD9+8482)*(10^(-4)),4)</f>
        <v>0.82320000000000004</v>
      </c>
      <c r="AE10" s="3365">
        <f>ROUND((-0.7912*(AE9^2)-11.3794*AE9+8482)*(10^(-4)),4)</f>
        <v>0.82320000000000004</v>
      </c>
      <c r="AF10" s="3365">
        <f>ROUND((-0.989*(AF9^2)-63.78*AF9+7771)*(10^(-4)),4)</f>
        <v>0.68630000000000002</v>
      </c>
      <c r="AG10" s="3365">
        <f>ROUND((-0.989*(AG9^2)-63.78*AG9+7771)*(10^(-4)),4)</f>
        <v>0.68630000000000002</v>
      </c>
      <c r="AH10" s="3365">
        <f>ROUND((-0.989*(AH9^2)-63.78*AH9+7771)*(10^(-4)),4)</f>
        <v>0.68630000000000002</v>
      </c>
      <c r="AI10" s="3365">
        <f>ROUND((-0.989*(AI9^2)-63.78*AI9+7771)*(10^(-4)),4)</f>
        <v>0.68630000000000002</v>
      </c>
      <c r="AJ10" s="3365">
        <f>ROUND((-0.989*(AJ9^2)-63.78*AJ9+7771)*(10^(-4)),4)</f>
        <v>0.68630000000000002</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v>0.88859999999999995</v>
      </c>
      <c r="T11" s="3361">
        <f t="shared" si="0"/>
        <v>25250</v>
      </c>
      <c r="U11" s="1213">
        <v>2445.6999999999998</v>
      </c>
      <c r="V11" s="3361">
        <f t="shared" si="1"/>
        <v>6175</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v>0.88739999999999997</v>
      </c>
      <c r="T12" s="3361">
        <f t="shared" si="0"/>
        <v>25216</v>
      </c>
      <c r="U12" s="1213">
        <v>2445.6999999999998</v>
      </c>
      <c r="V12" s="3361">
        <f t="shared" si="1"/>
        <v>6167</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v>0.8861</v>
      </c>
      <c r="T13" s="3361">
        <f t="shared" si="0"/>
        <v>25179</v>
      </c>
      <c r="U13" s="1213">
        <v>620.55999999999995</v>
      </c>
      <c r="V13" s="3361">
        <f t="shared" si="1"/>
        <v>1563</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8" t="s">
        <v>3261</v>
      </c>
      <c r="B20" s="167" t="s">
        <v>1994</v>
      </c>
      <c r="C20" s="3325">
        <f>ROUND(IF(F21="与级别开发程度一致",0,(G21-E21)/C21),0)</f>
        <v>0</v>
      </c>
      <c r="D20" s="3341" t="s">
        <v>1998</v>
      </c>
      <c r="E20" s="3342"/>
      <c r="F20" s="3664" t="s">
        <v>1995</v>
      </c>
      <c r="G20" s="3665"/>
      <c r="H20" s="3326" t="s">
        <v>3391</v>
      </c>
      <c r="I20" s="3326" t="s">
        <v>3392</v>
      </c>
      <c r="J20" s="3327" t="s">
        <v>3393</v>
      </c>
      <c r="K20" s="2047" t="s">
        <v>3394</v>
      </c>
      <c r="L20" s="2047" t="s">
        <v>3395</v>
      </c>
      <c r="M20" s="2047" t="s">
        <v>3396</v>
      </c>
      <c r="N20" s="2047" t="s">
        <v>3397</v>
      </c>
      <c r="O20" s="2048" t="s">
        <v>3398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9"/>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3399</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44978</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0.84630000000000005</v>
      </c>
      <c r="D24" s="2060" t="s">
        <v>2007</v>
      </c>
      <c r="E24" s="1335">
        <f>存贷款利率!E22/100</f>
        <v>4.3499999999999997E-2</v>
      </c>
      <c r="F24" s="2060" t="s">
        <v>1999</v>
      </c>
      <c r="G24" s="768">
        <f>SUMIF(M30:Q30,E2,M33:Q33)</f>
        <v>5.5E-2</v>
      </c>
      <c r="H24" s="2060" t="s">
        <v>2008</v>
      </c>
      <c r="I24" s="769">
        <f>SUMIF('数据-取费表'!C6:C15,E2,'数据-取费表'!F6:F15)/COUNTIF('数据-取费表'!C6:C15,E2)</f>
        <v>25.66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1.0048999999999999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1.0048999999999999</v>
      </c>
      <c r="E26" s="752">
        <f>ROUNDDOWN(G3,1)</f>
        <v>3.3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1.0071000000000001</v>
      </c>
      <c r="G26" s="752">
        <f>ROUNDUP(G3,1)</f>
        <v>3.4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1.0035000000000001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0.88739999999999997</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121734</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3286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28555</v>
      </c>
      <c r="D33" s="2098">
        <f>'数据-汇总表'!F31</f>
        <v>38029.119999999995</v>
      </c>
      <c r="E33" s="773">
        <f>ROUND(C33*D33/10000,0)</f>
        <v>108592</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7139</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2"/>
      <c r="B37" s="2113" t="s">
        <v>2036</v>
      </c>
      <c r="C37" s="175">
        <f>ROUND(D5*C22*C23*C24*C28*F37,0)</f>
        <v>19891</v>
      </c>
      <c r="D37" s="2098"/>
      <c r="E37" s="171">
        <f>ROUND(C37*D37/10000,0)</f>
        <v>0</v>
      </c>
      <c r="F37" s="171">
        <f>SUMIF(修正!A57:A68,G2,修正!B57:B68)</f>
        <v>0.7</v>
      </c>
      <c r="G37" s="171">
        <f>ROUND(IF(E2="工业",C37*$M$42,C37*$M$41),0)</f>
        <v>4973</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3"/>
      <c r="B38" s="2041" t="s">
        <v>2037</v>
      </c>
      <c r="C38" s="175">
        <f>ROUND(D5*C22*C23*C24*C28*F38,0)</f>
        <v>11366</v>
      </c>
      <c r="D38" s="2098"/>
      <c r="E38" s="171">
        <f t="shared" ref="E38:E42" si="4">ROUND(C38*D38/10000,0)</f>
        <v>0</v>
      </c>
      <c r="F38" s="171">
        <f>SUMIF(修正!A57:A68,G2,修正!C57:C68)</f>
        <v>0.4</v>
      </c>
      <c r="G38" s="171">
        <f>ROUND(IF(E2="工业",C38*$M$42,C38*$M$41),0)</f>
        <v>2842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63"/>
      <c r="B39" s="2041" t="s">
        <v>3266</v>
      </c>
      <c r="C39" s="175">
        <f>ROUND(D5*C22*C23*C24*C28*F39,0)</f>
        <v>8525</v>
      </c>
      <c r="D39" s="2098"/>
      <c r="E39" s="171">
        <f t="shared" si="4"/>
        <v>0</v>
      </c>
      <c r="F39" s="171">
        <f>SUMIF(修正!A57:A68,G2,修正!D57:D68)</f>
        <v>0.3</v>
      </c>
      <c r="G39" s="171">
        <f>ROUND(IF(E2="工业",C39*$M$42,C39*$M$41),0)</f>
        <v>2131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8525</v>
      </c>
      <c r="D40" s="2098"/>
      <c r="E40" s="171">
        <f t="shared" si="4"/>
        <v>0</v>
      </c>
      <c r="F40" s="175">
        <f>SUMIF(修正!A57:A68,G2,修正!E57:E68)</f>
        <v>0.3</v>
      </c>
      <c r="G40" s="171">
        <f>ROUND(IF(E2="工业",C40*$M$42,C40*$M$41),0)</f>
        <v>2131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9215</v>
      </c>
      <c r="D41" s="2098"/>
      <c r="E41" s="171">
        <f t="shared" si="4"/>
        <v>0</v>
      </c>
      <c r="F41" s="175">
        <f>SUMIF(修正!A57:A68,G2,修正!F57:F68)</f>
        <v>0.3</v>
      </c>
      <c r="G41" s="171">
        <f>ROUND(IF(E2="工业",C41*$M$42,C41*$M$41),0)</f>
        <v>2304</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6143</v>
      </c>
      <c r="D42" s="2103">
        <f>'数据-汇总表'!G20</f>
        <v>21393.3</v>
      </c>
      <c r="E42" s="187">
        <f t="shared" si="4"/>
        <v>13142</v>
      </c>
      <c r="F42" s="767">
        <f>SUMIF(修正!A57:A68,G2,修正!G57:G68)</f>
        <v>0.2</v>
      </c>
      <c r="G42" s="187">
        <f>ROUND(IF(E2="工业",C42*$M$42,C42*$M$41),0)</f>
        <v>1536</v>
      </c>
      <c r="H42" s="187">
        <f t="shared" si="5"/>
        <v>21393.3</v>
      </c>
      <c r="I42" s="187">
        <f t="shared" si="6"/>
        <v>3286</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0.91479999999999995</v>
      </c>
      <c r="D44" s="171" t="s">
        <v>1999</v>
      </c>
      <c r="E44" s="2153">
        <f>G24</f>
        <v>5.5E-2</v>
      </c>
      <c r="F44" s="171" t="s">
        <v>2008</v>
      </c>
      <c r="G44" s="183">
        <f>项目基本情况!F15</f>
        <v>35.67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1.0443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3400</v>
      </c>
      <c r="D50" s="1065">
        <f t="shared" ref="D50:D58" si="7">SUMIF($J$49:$N$49,C50,J50:N50)</f>
        <v>1.4500000000000001E-2</v>
      </c>
      <c r="E50" s="744">
        <f>ROUND(SUM(D50:D58),4)</f>
        <v>4.4299999999999999E-2</v>
      </c>
      <c r="F50" s="1814">
        <f>IF(E2="商业",SUMIF(L1:L12,G2,N1:N12),"——")</f>
        <v>9.7000000000000003E-2</v>
      </c>
      <c r="G50" s="1063">
        <f>H50</f>
        <v>1.4500000000000001E-2</v>
      </c>
      <c r="H50" s="1066">
        <f t="shared" ref="H50:H58" si="8">IFERROR(ROUNDDOWN($F$50*I50/2,4),"——")</f>
        <v>1.4500000000000001E-2</v>
      </c>
      <c r="I50" s="3367">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3400</v>
      </c>
      <c r="D51" s="1065">
        <f t="shared" si="7"/>
        <v>1.06E-2</v>
      </c>
      <c r="E51" s="745"/>
      <c r="F51" s="1814"/>
      <c r="G51" s="1063">
        <f t="shared" ref="G51:G58" si="12">H51</f>
        <v>1.06E-2</v>
      </c>
      <c r="H51" s="1066">
        <f t="shared" si="8"/>
        <v>1.06E-2</v>
      </c>
      <c r="I51" s="3367">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3400</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3400</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-3.8E-3</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3400</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3400</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3402</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3400</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60" t="s">
        <v>3301</v>
      </c>
      <c r="B103" s="3660"/>
      <c r="C103" s="3660"/>
      <c r="D103" s="3660"/>
      <c r="E103" s="3660"/>
      <c r="F103" s="3660"/>
      <c r="G103" s="3660"/>
      <c r="H103" s="3660"/>
      <c r="I103" s="3660"/>
      <c r="J103" s="3660"/>
      <c r="K103" s="3390"/>
      <c r="L103" s="3390"/>
      <c r="M103" s="3390"/>
      <c r="N103" s="3390"/>
    </row>
    <row r="104" spans="1:14">
      <c r="A104" s="3661" t="s">
        <v>3302</v>
      </c>
      <c r="B104" s="3661" t="s">
        <v>3303</v>
      </c>
      <c r="C104" s="3391" t="s">
        <v>3304</v>
      </c>
      <c r="D104" s="3392"/>
      <c r="E104" s="3392"/>
      <c r="F104" s="3392"/>
      <c r="G104" s="3392"/>
      <c r="H104" s="3392"/>
      <c r="I104" s="3392"/>
      <c r="J104" s="3393"/>
      <c r="K104" s="3394"/>
      <c r="L104" s="3394"/>
      <c r="M104" s="3394"/>
      <c r="N104" s="3394"/>
    </row>
    <row r="105" spans="1:14">
      <c r="A105" s="3661"/>
      <c r="B105" s="3661"/>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647"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8"/>
      <c r="B111" s="3395" t="s">
        <v>3275</v>
      </c>
      <c r="C111" s="3396">
        <f>$I$3</f>
        <v>11</v>
      </c>
      <c r="D111" s="3396">
        <f t="shared" ref="D111:M111" si="33">$I$3</f>
        <v>11</v>
      </c>
      <c r="E111" s="3396">
        <f t="shared" si="33"/>
        <v>11</v>
      </c>
      <c r="F111" s="3396">
        <f t="shared" si="33"/>
        <v>11</v>
      </c>
      <c r="G111" s="3396">
        <f t="shared" si="33"/>
        <v>11</v>
      </c>
      <c r="H111" s="3396">
        <f t="shared" si="33"/>
        <v>11</v>
      </c>
      <c r="I111" s="3396">
        <f t="shared" si="33"/>
        <v>11</v>
      </c>
      <c r="J111" s="3396">
        <f t="shared" si="33"/>
        <v>11</v>
      </c>
      <c r="K111" s="3396">
        <f t="shared" si="33"/>
        <v>11</v>
      </c>
      <c r="L111" s="3396">
        <f t="shared" si="33"/>
        <v>11</v>
      </c>
      <c r="M111" s="3396">
        <f t="shared" si="33"/>
        <v>11</v>
      </c>
      <c r="N111" s="3396">
        <f>$I$3</f>
        <v>11</v>
      </c>
    </row>
    <row r="112" spans="1:14">
      <c r="A112" s="3649"/>
      <c r="B112" s="3395">
        <v>6</v>
      </c>
      <c r="C112" s="3388">
        <f>(-0.5556*(C111^2)-0.2719*C111+8944)*(10^(-4))</f>
        <v>0.88737814999999998</v>
      </c>
      <c r="D112" s="3388">
        <f>(-0.5556*(D111^2)-0.2719*D111+8944)*(10^(-4))</f>
        <v>0.88737814999999998</v>
      </c>
      <c r="E112" s="3388">
        <f>(-0.7912*(E111^2)-11.3794*E111+8482)*(10^(-4))</f>
        <v>0.82610914000000002</v>
      </c>
      <c r="F112" s="3388">
        <f t="shared" ref="F112:I112" si="34">(-0.7912*(F111^2)-11.3794*F111+8482)*(10^(-4))</f>
        <v>0.82610914000000002</v>
      </c>
      <c r="G112" s="3388">
        <f t="shared" si="34"/>
        <v>0.82610914000000002</v>
      </c>
      <c r="H112" s="3388">
        <f t="shared" si="34"/>
        <v>0.82610914000000002</v>
      </c>
      <c r="I112" s="3388">
        <f t="shared" si="34"/>
        <v>0.82610914000000002</v>
      </c>
      <c r="J112" s="3388">
        <f>(-0.989*(J111^2)-63.78*J111+7771)*(10^(-4))</f>
        <v>0.69497510000000007</v>
      </c>
      <c r="K112" s="3388">
        <f t="shared" ref="K112:N112" si="35">(-0.989*(K111^2)-63.78*K111+7771)*(10^(-4))</f>
        <v>0.69497510000000007</v>
      </c>
      <c r="L112" s="3388">
        <f t="shared" si="35"/>
        <v>0.69497510000000007</v>
      </c>
      <c r="M112" s="3388">
        <f t="shared" si="35"/>
        <v>0.69497510000000007</v>
      </c>
      <c r="N112" s="3388">
        <f t="shared" si="35"/>
        <v>0.69497510000000007</v>
      </c>
    </row>
    <row r="113" spans="1:14">
      <c r="A113" s="3650" t="s">
        <v>3318</v>
      </c>
      <c r="B113" s="3650"/>
      <c r="C113" s="3650"/>
      <c r="D113" s="3650"/>
      <c r="E113" s="3650"/>
      <c r="F113" s="3650"/>
      <c r="G113" s="3650"/>
      <c r="H113" s="3650"/>
      <c r="I113" s="3650"/>
      <c r="J113" s="36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3.36</v>
      </c>
      <c r="C116" s="3400" t="s">
        <v>3320</v>
      </c>
      <c r="D116" s="3401">
        <f>SUMPRODUCT((A118:A122=F116)*(B117:M117=H116)*B118:M122)</f>
        <v>0.95979999999999999</v>
      </c>
      <c r="E116" s="2000" t="s">
        <v>3321</v>
      </c>
      <c r="F116" s="3402" t="str">
        <f>E2</f>
        <v>商业</v>
      </c>
      <c r="G116" s="2000" t="s">
        <v>3322</v>
      </c>
      <c r="H116" s="3402" t="str">
        <f>G2</f>
        <v>一级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0.95979999999999999</v>
      </c>
      <c r="C118" s="3388">
        <f>B118</f>
        <v>0.95979999999999999</v>
      </c>
      <c r="D118" s="3388">
        <f>ROUND(0.949-0.014*B116,4)</f>
        <v>0.90200000000000002</v>
      </c>
      <c r="E118" s="3388">
        <f>D118</f>
        <v>0.90200000000000002</v>
      </c>
      <c r="F118" s="3388">
        <f>E118</f>
        <v>0.90200000000000002</v>
      </c>
      <c r="G118" s="3388">
        <f>F118</f>
        <v>0.90200000000000002</v>
      </c>
      <c r="H118" s="3388">
        <f>G118</f>
        <v>0.90200000000000002</v>
      </c>
      <c r="I118" s="3388">
        <f>ROUND(0.8486-0.018*B116,4)</f>
        <v>0.78810000000000002</v>
      </c>
      <c r="J118" s="3388">
        <f t="shared" ref="J118:M122" si="36">I118</f>
        <v>0.78810000000000002</v>
      </c>
      <c r="K118" s="3388">
        <f t="shared" si="36"/>
        <v>0.78810000000000002</v>
      </c>
      <c r="L118" s="3388">
        <f t="shared" si="36"/>
        <v>0.78810000000000002</v>
      </c>
      <c r="M118" s="3411">
        <f t="shared" si="36"/>
        <v>0.78810000000000002</v>
      </c>
      <c r="N118" s="3398"/>
    </row>
    <row r="119" spans="1:14">
      <c r="A119" s="3410" t="s">
        <v>3336</v>
      </c>
      <c r="B119" s="3388">
        <f>ROUND(0.993-0.0112*B116,4)</f>
        <v>0.95540000000000003</v>
      </c>
      <c r="C119" s="3388">
        <f>B119</f>
        <v>0.95540000000000003</v>
      </c>
      <c r="D119" s="3388">
        <f>ROUND(0.9415-0.0142*B116,4)</f>
        <v>0.89380000000000004</v>
      </c>
      <c r="E119" s="3388">
        <f t="shared" ref="E119:H120" si="37">D119</f>
        <v>0.89380000000000004</v>
      </c>
      <c r="F119" s="3388">
        <f t="shared" si="37"/>
        <v>0.89380000000000004</v>
      </c>
      <c r="G119" s="3388">
        <f t="shared" si="37"/>
        <v>0.89380000000000004</v>
      </c>
      <c r="H119" s="3388">
        <f t="shared" si="37"/>
        <v>0.89380000000000004</v>
      </c>
      <c r="I119" s="3388">
        <f>ROUND(0.838-0.0182*B116,4)</f>
        <v>0.77680000000000005</v>
      </c>
      <c r="J119" s="3388">
        <f t="shared" si="36"/>
        <v>0.77680000000000005</v>
      </c>
      <c r="K119" s="3388">
        <f t="shared" si="36"/>
        <v>0.77680000000000005</v>
      </c>
      <c r="L119" s="3388">
        <f t="shared" si="36"/>
        <v>0.77680000000000005</v>
      </c>
      <c r="M119" s="3411">
        <f t="shared" si="36"/>
        <v>0.77680000000000005</v>
      </c>
      <c r="N119" s="3398"/>
    </row>
    <row r="120" spans="1:14">
      <c r="A120" s="3410" t="s">
        <v>3337</v>
      </c>
      <c r="B120" s="3388">
        <f>ROUND(0.9448-0.0115*B116,4)</f>
        <v>0.90620000000000001</v>
      </c>
      <c r="C120" s="3388">
        <f>B120</f>
        <v>0.90620000000000001</v>
      </c>
      <c r="D120" s="3388">
        <f>ROUND(0.937-0.0145*B116,4)</f>
        <v>0.88829999999999998</v>
      </c>
      <c r="E120" s="3388">
        <f t="shared" si="37"/>
        <v>0.88829999999999998</v>
      </c>
      <c r="F120" s="3388">
        <f t="shared" si="37"/>
        <v>0.88829999999999998</v>
      </c>
      <c r="G120" s="3388">
        <f t="shared" si="37"/>
        <v>0.88829999999999998</v>
      </c>
      <c r="H120" s="3388">
        <f t="shared" si="37"/>
        <v>0.88829999999999998</v>
      </c>
      <c r="I120" s="3388">
        <f>ROUND(0.7965-0.0185*B116,4)</f>
        <v>0.73429999999999995</v>
      </c>
      <c r="J120" s="3388">
        <f t="shared" si="36"/>
        <v>0.73429999999999995</v>
      </c>
      <c r="K120" s="3388">
        <f t="shared" si="36"/>
        <v>0.73429999999999995</v>
      </c>
      <c r="L120" s="3388">
        <f t="shared" si="36"/>
        <v>0.73429999999999995</v>
      </c>
      <c r="M120" s="3411">
        <f t="shared" si="36"/>
        <v>0.73429999999999995</v>
      </c>
      <c r="N120" s="3398"/>
    </row>
    <row r="121" spans="1:14" ht="13.5" thickBot="1">
      <c r="A121" s="3412" t="s">
        <v>3338</v>
      </c>
      <c r="B121" s="3413">
        <f>ROUND(0.7836-0.012*B116,4)</f>
        <v>0.74329999999999996</v>
      </c>
      <c r="C121" s="3413">
        <f>B121</f>
        <v>0.74329999999999996</v>
      </c>
      <c r="D121" s="3413">
        <f>ROUND(0.753-0.015*B116,4)</f>
        <v>0.7026</v>
      </c>
      <c r="E121" s="3413">
        <f>D121</f>
        <v>0.7026</v>
      </c>
      <c r="F121" s="3413">
        <f>E121</f>
        <v>0.7026</v>
      </c>
      <c r="G121" s="3413">
        <f>ROUND(0.6612-0.018*B116,4)</f>
        <v>0.60070000000000001</v>
      </c>
      <c r="H121" s="3413">
        <f>G121</f>
        <v>0.60070000000000001</v>
      </c>
      <c r="I121" s="3413">
        <f>ROUND(0.5905-0.019*B116,4)</f>
        <v>0.52669999999999995</v>
      </c>
      <c r="J121" s="3413">
        <f t="shared" si="36"/>
        <v>0.52669999999999995</v>
      </c>
      <c r="K121" s="3413">
        <f t="shared" si="36"/>
        <v>0.52669999999999995</v>
      </c>
      <c r="L121" s="3413">
        <f t="shared" si="36"/>
        <v>0.52669999999999995</v>
      </c>
      <c r="M121" s="3414">
        <f t="shared" si="36"/>
        <v>0.52669999999999995</v>
      </c>
      <c r="N121" s="3398"/>
    </row>
    <row r="122" spans="1:14">
      <c r="A122" s="3415" t="s">
        <v>2615</v>
      </c>
      <c r="B122" s="3388">
        <f>ROUND(0.9404-0.0106*B116,4)</f>
        <v>0.90480000000000005</v>
      </c>
      <c r="C122" s="3388">
        <f>B122</f>
        <v>0.90480000000000005</v>
      </c>
      <c r="D122" s="3388">
        <f>ROUND(0.8955-0.0135*B116,4)</f>
        <v>0.85009999999999997</v>
      </c>
      <c r="E122" s="3388">
        <f t="shared" ref="E122:H122" si="38">D122</f>
        <v>0.85009999999999997</v>
      </c>
      <c r="F122" s="3388">
        <f t="shared" si="38"/>
        <v>0.85009999999999997</v>
      </c>
      <c r="G122" s="3388">
        <f t="shared" si="38"/>
        <v>0.85009999999999997</v>
      </c>
      <c r="H122" s="3388">
        <f t="shared" si="38"/>
        <v>0.85009999999999997</v>
      </c>
      <c r="I122" s="3388">
        <f>ROUND(0.7632-0.0166*B116,4)</f>
        <v>0.70740000000000003</v>
      </c>
      <c r="J122" s="3388">
        <f t="shared" si="36"/>
        <v>0.70740000000000003</v>
      </c>
      <c r="K122" s="3388">
        <f t="shared" si="36"/>
        <v>0.70740000000000003</v>
      </c>
      <c r="L122" s="3388">
        <f t="shared" si="36"/>
        <v>0.70740000000000003</v>
      </c>
      <c r="M122" s="3411">
        <f t="shared" si="36"/>
        <v>0.70740000000000003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 sqref="D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25.66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141196</v>
      </c>
      <c r="C2" s="1387" t="s">
        <v>805</v>
      </c>
      <c r="D2" s="1387"/>
      <c r="E2" s="1388"/>
      <c r="F2" s="1389"/>
      <c r="G2" s="2706"/>
      <c r="H2" s="2695"/>
      <c r="I2" s="2695"/>
      <c r="J2" s="2695"/>
      <c r="K2" s="2696"/>
      <c r="L2" s="2695"/>
      <c r="M2" s="2695"/>
    </row>
    <row r="3" spans="1:37" ht="18" customHeight="1" thickBot="1">
      <c r="A3" s="1390" t="s">
        <v>806</v>
      </c>
      <c r="B3" s="1391">
        <f ca="1">IF(ISERROR(B2*10000/F43),0,ROUND(B2*10000/F43,0))</f>
        <v>30175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9747</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9735</v>
      </c>
      <c r="D6" s="155" t="s">
        <v>2109</v>
      </c>
      <c r="E6" s="302" t="s">
        <v>696</v>
      </c>
      <c r="F6" s="303">
        <f ca="1">INDIRECT("'数据-取费表'!u"&amp;$G$1)</f>
        <v>6</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46791.759999999995</v>
      </c>
      <c r="G7" s="1384"/>
      <c r="H7" s="304"/>
      <c r="I7" s="3669"/>
      <c r="J7" s="306"/>
      <c r="K7" s="307"/>
      <c r="L7" s="302" t="s">
        <v>697</v>
      </c>
      <c r="M7" s="303">
        <f ca="1">F7</f>
        <v>46791.759999999995</v>
      </c>
    </row>
    <row r="8" spans="1:37" ht="18" customHeight="1">
      <c r="A8" s="304"/>
      <c r="B8" s="3669"/>
      <c r="C8" s="306"/>
      <c r="D8" s="307"/>
      <c r="E8" s="302" t="s">
        <v>698</v>
      </c>
      <c r="F8" s="303">
        <f ca="1">INDIRECT("'数据-取费表'!ai"&amp;$G$1)</f>
        <v>365</v>
      </c>
      <c r="G8" s="1384"/>
      <c r="H8" s="304"/>
      <c r="I8" s="3669"/>
      <c r="J8" s="306"/>
      <c r="K8" s="307"/>
      <c r="L8" s="302" t="s">
        <v>698</v>
      </c>
      <c r="M8" s="303">
        <f ca="1">INDIRECT("'数据-取费表'!ai"&amp;$G$1)</f>
        <v>365</v>
      </c>
    </row>
    <row r="9" spans="1:37" ht="18" customHeight="1">
      <c r="A9" s="304"/>
      <c r="B9" s="3670"/>
      <c r="C9" s="306"/>
      <c r="D9" s="307"/>
      <c r="E9" s="302" t="s">
        <v>699</v>
      </c>
      <c r="F9" s="312">
        <f ca="1">INDIRECT("'数据-取费表'!w"&amp;$G$1)</f>
        <v>0.05</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12</v>
      </c>
      <c r="D10" s="1366" t="s">
        <v>2117</v>
      </c>
      <c r="E10" s="313" t="s">
        <v>701</v>
      </c>
      <c r="F10" s="1116" t="s">
        <v>3408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22726</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18887</v>
      </c>
      <c r="D14" s="1345" t="s">
        <v>708</v>
      </c>
      <c r="E14" s="1342"/>
      <c r="F14" s="319"/>
      <c r="G14" s="1384"/>
      <c r="H14" s="982" t="s">
        <v>398</v>
      </c>
      <c r="I14" s="302" t="s">
        <v>709</v>
      </c>
      <c r="J14" s="21">
        <f ca="1">C29</f>
        <v>28408</v>
      </c>
      <c r="K14" s="12"/>
      <c r="L14" s="807"/>
      <c r="M14" s="808"/>
    </row>
    <row r="15" spans="1:37" s="1397" customFormat="1" ht="18" customHeight="1" thickBot="1">
      <c r="A15" s="982" t="s">
        <v>399</v>
      </c>
      <c r="B15" s="302" t="s">
        <v>710</v>
      </c>
      <c r="C15" s="21">
        <f ca="1">ROUND(C14*F15,0)</f>
        <v>567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303</v>
      </c>
      <c r="K16" s="1087" t="s">
        <v>715</v>
      </c>
      <c r="L16" s="1088"/>
      <c r="M16" s="1072"/>
    </row>
    <row r="17" spans="1:37" s="1397" customFormat="1" ht="18" customHeight="1">
      <c r="A17" s="982" t="s">
        <v>681</v>
      </c>
      <c r="B17" s="302" t="s">
        <v>716</v>
      </c>
      <c r="C17" s="21">
        <f ca="1">ROUND(F17*(F43+INDIRECT("'数据-取费表'!S"&amp;$G$1))/10000,0)</f>
        <v>944</v>
      </c>
      <c r="D17" s="302" t="s">
        <v>717</v>
      </c>
      <c r="E17" s="302" t="s">
        <v>718</v>
      </c>
      <c r="F17" s="23">
        <f>'数据-取费表'!B35</f>
        <v>200</v>
      </c>
      <c r="G17" s="1396"/>
      <c r="H17" s="982" t="s">
        <v>398</v>
      </c>
      <c r="I17" s="302" t="s">
        <v>719</v>
      </c>
      <c r="J17" s="2316">
        <f ca="1">ROUND(IF(AND(项目基本情况!B11="自然人",项目基本情况!B10="北京市"),J6*M17/(1+'数据-取费表'!C42),J18+J19+J20),2)</f>
        <v>18.62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283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20681</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414</v>
      </c>
      <c r="D20" s="323" t="s">
        <v>729</v>
      </c>
      <c r="E20" s="302" t="s">
        <v>712</v>
      </c>
      <c r="F20" s="322">
        <f>'数据-取费表'!B37</f>
        <v>0.02</v>
      </c>
      <c r="G20" s="1396"/>
      <c r="H20" s="982" t="s">
        <v>680</v>
      </c>
      <c r="I20" s="155" t="s">
        <v>730</v>
      </c>
      <c r="J20" s="22">
        <f ca="1">ROUND(M20*M21/10000,2)</f>
        <v>18.62</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7758.3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284.08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875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-303</v>
      </c>
      <c r="K25" s="1095" t="s">
        <v>753</v>
      </c>
      <c r="L25" s="1096"/>
      <c r="M25" s="1097"/>
    </row>
    <row r="26" spans="1:37">
      <c r="A26" s="982" t="s">
        <v>397</v>
      </c>
      <c r="B26" s="302" t="s">
        <v>754</v>
      </c>
      <c r="C26" s="21">
        <f ca="1">ROUND((C19+C20)*F26,0)</f>
        <v>4219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28408</v>
      </c>
      <c r="D29" s="1092"/>
      <c r="E29" s="1090"/>
      <c r="F29" s="1093"/>
      <c r="G29" s="1396"/>
      <c r="H29" s="334" t="s">
        <v>396</v>
      </c>
      <c r="I29" s="335" t="s">
        <v>768</v>
      </c>
      <c r="J29" s="336">
        <f ca="1">ROUND(J26/(1+F40)^F41,0)</f>
        <v>0</v>
      </c>
      <c r="K29" s="337" t="s">
        <v>769</v>
      </c>
      <c r="L29" s="338"/>
      <c r="M29" s="339">
        <f ca="1">INDIRECT("'数据-取费表'!k"&amp;$G$1)</f>
        <v>46791.759999999995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2066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1650.39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519.20000000000005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1112.57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18.62</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7758.3</v>
      </c>
      <c r="G35" s="1384"/>
      <c r="H35" s="2697"/>
      <c r="I35" s="1398"/>
      <c r="J35" s="1399"/>
      <c r="K35" s="2701"/>
      <c r="L35" s="2700"/>
      <c r="M35" s="2700"/>
    </row>
    <row r="36" spans="1:18" ht="18" customHeight="1">
      <c r="A36" s="1102" t="s">
        <v>402</v>
      </c>
      <c r="B36" s="302" t="s">
        <v>738</v>
      </c>
      <c r="C36" s="21">
        <f ca="1">ROUND(C29*F36,2)</f>
        <v>284.08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34.090000000000003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97.47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7681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141196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25.66</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30175</v>
      </c>
      <c r="D43" s="337" t="s">
        <v>777</v>
      </c>
      <c r="E43" s="338" t="s">
        <v>778</v>
      </c>
      <c r="F43" s="339">
        <f ca="1">INDIRECT("'数据-取费表'!k"&amp;$G$1)</f>
        <v>46791.759999999995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-145772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40</v>
      </c>
      <c r="M47" s="1380" t="str">
        <f>IF(ISNUMBER(FIND("住宅",C1)),"住宅","非住宅")</f>
        <v>非住宅</v>
      </c>
      <c r="O47" s="1418" t="s">
        <v>403</v>
      </c>
      <c r="P47" s="1419" t="s">
        <v>817</v>
      </c>
      <c r="Q47" s="1420">
        <f ca="1">C40+J29</f>
        <v>141196</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25.66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28408</v>
      </c>
      <c r="R49" s="1420" t="s">
        <v>818</v>
      </c>
    </row>
    <row r="50" spans="1:18" s="1384" customFormat="1" ht="13.5" thickBot="1">
      <c r="A50" s="976"/>
      <c r="B50" s="979"/>
      <c r="C50" s="1118"/>
      <c r="D50" s="953"/>
      <c r="E50" s="1056" t="s">
        <v>697</v>
      </c>
      <c r="F50" s="1057">
        <f ca="1">F7</f>
        <v>46791.759999999995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113132</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25.66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25.66</v>
      </c>
      <c r="K53" s="3666" t="s">
        <v>837</v>
      </c>
      <c r="L53" s="3667"/>
      <c r="O53" s="1418" t="s">
        <v>409</v>
      </c>
      <c r="P53" s="1419" t="s">
        <v>838</v>
      </c>
      <c r="Q53" s="1420">
        <f ca="1">Q47+Q48</f>
        <v>141196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22726</v>
      </c>
      <c r="D56" s="1447"/>
      <c r="E56" s="1448"/>
      <c r="F56" s="1440"/>
      <c r="I56" s="1449" t="s">
        <v>842</v>
      </c>
      <c r="J56" s="1450" t="s">
        <v>3385</v>
      </c>
      <c r="K56" s="1421" t="s">
        <v>843</v>
      </c>
      <c r="L56" s="1424" t="str">
        <f ca="1">IF(L48&lt;J51,"——",L48-J53)</f>
        <v>——</v>
      </c>
      <c r="O56" s="1418" t="s">
        <v>403</v>
      </c>
      <c r="P56" s="1419" t="s">
        <v>817</v>
      </c>
      <c r="Q56" s="1420">
        <f ca="1">C40+J29</f>
        <v>141196</v>
      </c>
      <c r="R56" s="1420" t="s">
        <v>818</v>
      </c>
    </row>
    <row r="57" spans="1:18" s="1384" customFormat="1" ht="24.75" thickBot="1">
      <c r="A57" s="1451"/>
      <c r="B57" s="950" t="s">
        <v>767</v>
      </c>
      <c r="C57" s="238">
        <f ca="1">C29</f>
        <v>28408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337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19</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18.62</v>
      </c>
      <c r="D62" s="965" t="s">
        <v>786</v>
      </c>
      <c r="E62" s="950" t="s">
        <v>787</v>
      </c>
      <c r="F62" s="325">
        <f t="shared" si="0"/>
        <v>24</v>
      </c>
      <c r="I62" s="1462" t="s">
        <v>858</v>
      </c>
      <c r="J62" s="1463" t="s">
        <v>859</v>
      </c>
      <c r="K62" s="1463" t="s">
        <v>860</v>
      </c>
      <c r="L62" s="1463" t="s">
        <v>861</v>
      </c>
      <c r="M62" s="1464" t="s">
        <v>862</v>
      </c>
      <c r="O62" s="1418" t="s">
        <v>409</v>
      </c>
      <c r="P62" s="1419" t="s">
        <v>863</v>
      </c>
      <c r="Q62" s="1420">
        <f ca="1">Q56+Q57</f>
        <v>141196</v>
      </c>
      <c r="R62" s="1420" t="s">
        <v>410</v>
      </c>
    </row>
    <row r="63" spans="1:18" s="1384" customFormat="1" ht="13.5" thickBot="1">
      <c r="A63" s="326"/>
      <c r="B63" s="956"/>
      <c r="C63" s="26"/>
      <c r="D63" s="966"/>
      <c r="E63" s="950" t="s">
        <v>788</v>
      </c>
      <c r="F63" s="303">
        <f t="shared" ca="1" si="0"/>
        <v>7758.3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284.08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34.090000000000003</v>
      </c>
      <c r="D65" s="964" t="s">
        <v>743</v>
      </c>
      <c r="E65" s="950" t="s">
        <v>744</v>
      </c>
      <c r="F65" s="330">
        <f t="shared" ca="1" si="0"/>
        <v>1.5E-3</v>
      </c>
      <c r="I65" s="1462" t="s">
        <v>867</v>
      </c>
      <c r="J65" s="1463">
        <v>40</v>
      </c>
      <c r="K65" s="1463">
        <v>30</v>
      </c>
      <c r="L65" s="1463">
        <v>50</v>
      </c>
      <c r="M65" s="1465">
        <v>0.02</v>
      </c>
      <c r="O65" s="1418" t="s">
        <v>403</v>
      </c>
      <c r="P65" s="1419" t="s">
        <v>868</v>
      </c>
      <c r="Q65" s="1420">
        <f ca="1">C40+J29</f>
        <v>141196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-337</v>
      </c>
      <c r="D67" s="963" t="s">
        <v>753</v>
      </c>
      <c r="E67" s="968"/>
      <c r="F67" s="969"/>
      <c r="O67" s="1428" t="s">
        <v>405</v>
      </c>
      <c r="P67" s="1419" t="s">
        <v>850</v>
      </c>
      <c r="Q67" s="1466">
        <f ca="1">L51</f>
        <v>113132</v>
      </c>
      <c r="R67" s="1420" t="s">
        <v>870</v>
      </c>
    </row>
    <row r="68" spans="1:18" s="1384" customFormat="1" ht="16.5" thickBot="1">
      <c r="A68" s="947" t="s">
        <v>395</v>
      </c>
      <c r="B68" s="948" t="s">
        <v>774</v>
      </c>
      <c r="C68" s="301">
        <f ca="1">ROUND(C67*(1-((1+F70)/(1+F68))^F69)/(F68-F70),0)</f>
        <v>-4576</v>
      </c>
      <c r="D68" s="965" t="s">
        <v>758</v>
      </c>
      <c r="E68" s="950" t="s">
        <v>759</v>
      </c>
      <c r="F68" s="312">
        <f ca="1">F40</f>
        <v>5.5E-2</v>
      </c>
      <c r="O68" s="1428" t="s">
        <v>406</v>
      </c>
      <c r="P68" s="1467" t="s">
        <v>871</v>
      </c>
      <c r="Q68" s="1420">
        <f ca="1">ROUND(Q69-Q70*Q71,0)</f>
        <v>5977</v>
      </c>
      <c r="R68" s="1420" t="s">
        <v>414</v>
      </c>
    </row>
    <row r="69" spans="1:18" s="1384" customFormat="1" ht="13.5" thickBot="1">
      <c r="A69" s="951"/>
      <c r="B69" s="952"/>
      <c r="C69" s="306"/>
      <c r="D69" s="970" t="s">
        <v>762</v>
      </c>
      <c r="E69" s="950" t="s">
        <v>763</v>
      </c>
      <c r="F69" s="333">
        <f ca="1">F41</f>
        <v>25.66</v>
      </c>
      <c r="O69" s="1428" t="s">
        <v>411</v>
      </c>
      <c r="P69" s="1467" t="s">
        <v>872</v>
      </c>
      <c r="Q69" s="1420">
        <f ca="1">C39</f>
        <v>7681</v>
      </c>
      <c r="R69" s="1420" t="s">
        <v>818</v>
      </c>
    </row>
    <row r="70" spans="1:18" s="1384" customFormat="1" ht="13.5" thickBot="1">
      <c r="A70" s="954"/>
      <c r="B70" s="955"/>
      <c r="C70" s="310"/>
      <c r="D70" s="966"/>
      <c r="E70" s="950" t="s">
        <v>766</v>
      </c>
      <c r="F70" s="1054"/>
      <c r="O70" s="1428" t="s">
        <v>412</v>
      </c>
      <c r="P70" s="1467" t="s">
        <v>873</v>
      </c>
      <c r="Q70" s="1420">
        <f ca="1">C13</f>
        <v>22726</v>
      </c>
      <c r="R70" s="1420" t="s">
        <v>818</v>
      </c>
    </row>
    <row r="71" spans="1:18" s="1384" customFormat="1" ht="13.5" thickBot="1">
      <c r="A71" s="971" t="s">
        <v>396</v>
      </c>
      <c r="B71" s="972" t="s">
        <v>776</v>
      </c>
      <c r="C71" s="336">
        <f ca="1">ROUND(C68*10000/F71,0)</f>
        <v>-978</v>
      </c>
      <c r="D71" s="973" t="s">
        <v>777</v>
      </c>
      <c r="E71" s="974" t="s">
        <v>778</v>
      </c>
      <c r="F71" s="339">
        <f ca="1">F43</f>
        <v>46791.759999999995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1704</v>
      </c>
      <c r="D75" s="1384"/>
      <c r="E75" s="1384"/>
      <c r="F75" s="1384"/>
      <c r="K75" s="1402"/>
      <c r="L75" s="1384"/>
      <c r="O75" s="1418" t="s">
        <v>409</v>
      </c>
      <c r="P75" s="1419" t="s">
        <v>838</v>
      </c>
      <c r="Q75" s="1420">
        <f ca="1">Q65+Q66</f>
        <v>141196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0.77800000000000002</v>
      </c>
    </row>
    <row r="80" spans="1:18">
      <c r="B80" s="340" t="s">
        <v>800</v>
      </c>
      <c r="C80" s="274">
        <f ca="1">ROUND(C75/C39,3)</f>
        <v>0.222</v>
      </c>
    </row>
    <row r="81" spans="2:3">
      <c r="B81" s="270" t="s">
        <v>801</v>
      </c>
      <c r="C81" s="238"/>
    </row>
    <row r="82" spans="2:3">
      <c r="B82" s="273" t="s">
        <v>802</v>
      </c>
      <c r="C82" s="275">
        <f ca="1">1-C83</f>
        <v>0.83899999999999997</v>
      </c>
    </row>
    <row r="83" spans="2:3">
      <c r="B83" s="273" t="s">
        <v>803</v>
      </c>
      <c r="C83" s="274">
        <f ca="1">ROUND(C13/C40,3)</f>
        <v>0.161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77" t="s">
        <v>2320</v>
      </c>
      <c r="K2" s="367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79" t="s">
        <v>2330</v>
      </c>
      <c r="K3" s="368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79" t="s">
        <v>2332</v>
      </c>
      <c r="K4" s="368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85" t="s">
        <v>2336</v>
      </c>
      <c r="B6" s="3686"/>
      <c r="C6" s="3687"/>
      <c r="D6" s="2870"/>
      <c r="E6" s="2871"/>
      <c r="F6" s="2872"/>
      <c r="G6" s="2873"/>
      <c r="H6" s="2848"/>
      <c r="I6" s="2849"/>
      <c r="J6" s="3671">
        <v>1</v>
      </c>
      <c r="K6" s="367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71"/>
      <c r="K7" s="367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88" t="s">
        <v>2350</v>
      </c>
      <c r="C8" s="3689"/>
      <c r="D8" s="2889" t="s">
        <v>2351</v>
      </c>
      <c r="E8" s="2890" t="s">
        <v>2352</v>
      </c>
      <c r="F8" s="2891" t="s">
        <v>2353</v>
      </c>
      <c r="G8" s="2892"/>
      <c r="H8" s="2848"/>
      <c r="I8" s="2849"/>
      <c r="J8" s="3671"/>
      <c r="K8" s="367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88" t="s">
        <v>2356</v>
      </c>
      <c r="C9" s="3689"/>
      <c r="D9" s="2889">
        <f>ROUND(D6*E9,0)</f>
        <v>0</v>
      </c>
      <c r="E9" s="2893"/>
      <c r="F9" s="2894" t="s">
        <v>2357</v>
      </c>
      <c r="G9" s="2873"/>
      <c r="H9" s="2848"/>
      <c r="I9" s="2849"/>
      <c r="J9" s="3671"/>
      <c r="K9" s="3673"/>
      <c r="L9" s="2883" t="s">
        <v>2358</v>
      </c>
      <c r="M9" s="2884"/>
      <c r="N9" s="2860"/>
      <c r="O9" s="2885"/>
      <c r="P9" s="2885"/>
      <c r="Q9" s="2886">
        <v>365</v>
      </c>
      <c r="R9" s="2887">
        <f t="shared" si="0"/>
        <v>0</v>
      </c>
      <c r="S9" s="2841"/>
      <c r="T9" s="2841"/>
      <c r="U9" s="2841"/>
      <c r="V9" s="2849"/>
    </row>
    <row r="10" spans="1:22" s="2853" customFormat="1" ht="13.15" customHeight="1">
      <c r="A10" s="2888">
        <v>2</v>
      </c>
      <c r="B10" s="3688" t="s">
        <v>2359</v>
      </c>
      <c r="C10" s="3689"/>
      <c r="D10" s="2889">
        <f>ROUND(D6*E10,0)</f>
        <v>0</v>
      </c>
      <c r="E10" s="2893"/>
      <c r="F10" s="2894" t="s">
        <v>2360</v>
      </c>
      <c r="G10" s="2873"/>
      <c r="H10" s="2848"/>
      <c r="I10" s="2849"/>
      <c r="J10" s="3671"/>
      <c r="K10" s="3673"/>
      <c r="L10" s="2883" t="s">
        <v>2361</v>
      </c>
      <c r="M10" s="2884"/>
      <c r="N10" s="2860"/>
      <c r="O10" s="2885"/>
      <c r="P10" s="2885"/>
      <c r="Q10" s="2886">
        <v>365</v>
      </c>
      <c r="R10" s="2887">
        <f t="shared" si="0"/>
        <v>0</v>
      </c>
      <c r="S10" s="2841"/>
      <c r="T10" s="2841"/>
      <c r="U10" s="2841"/>
      <c r="V10" s="2849"/>
    </row>
    <row r="11" spans="1:22" s="2853" customFormat="1" ht="13.15" customHeight="1">
      <c r="A11" s="2888">
        <v>3</v>
      </c>
      <c r="B11" s="3688" t="s">
        <v>2362</v>
      </c>
      <c r="C11" s="3689"/>
      <c r="D11" s="2889">
        <f>D12+D14+D15+D16</f>
        <v>0</v>
      </c>
      <c r="E11" s="2895" t="e">
        <f>D11/D6</f>
        <v>#DIV/0!</v>
      </c>
      <c r="F11" s="2891"/>
      <c r="G11" s="2892"/>
      <c r="H11" s="2848"/>
      <c r="I11" s="2849"/>
      <c r="J11" s="3671"/>
      <c r="K11" s="367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81" t="s">
        <v>2365</v>
      </c>
      <c r="C12" s="3682"/>
      <c r="D12" s="2897">
        <f>ROUND(D13*1.2%*(1-30%),0)</f>
        <v>0</v>
      </c>
      <c r="E12" s="2898">
        <v>1.2E-2</v>
      </c>
      <c r="F12" s="2891" t="s">
        <v>2366</v>
      </c>
      <c r="G12" s="2892"/>
      <c r="H12" s="2848"/>
      <c r="I12" s="2849"/>
      <c r="J12" s="3671"/>
      <c r="K12" s="367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71"/>
      <c r="K13" s="367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81" t="s">
        <v>2371</v>
      </c>
      <c r="C14" s="3682"/>
      <c r="D14" s="2897">
        <f>ROUND(E14*B5/10000,0)</f>
        <v>0</v>
      </c>
      <c r="E14" s="2886"/>
      <c r="F14" s="2891" t="s">
        <v>2372</v>
      </c>
      <c r="G14" s="2892"/>
      <c r="H14" s="2848"/>
      <c r="I14" s="2849"/>
      <c r="J14" s="3671"/>
      <c r="K14" s="367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81" t="s">
        <v>2375</v>
      </c>
      <c r="C15" s="3682"/>
      <c r="D15" s="2897">
        <f>ROUND(D6*E15,0)</f>
        <v>0</v>
      </c>
      <c r="E15" s="2898">
        <v>5.5E-2</v>
      </c>
      <c r="F15" s="2891" t="s">
        <v>2376</v>
      </c>
      <c r="G15" s="2873"/>
      <c r="H15" s="2848"/>
      <c r="I15" s="2849"/>
      <c r="J15" s="3671">
        <v>2</v>
      </c>
      <c r="K15" s="367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81" t="s">
        <v>2384</v>
      </c>
      <c r="C16" s="3682"/>
      <c r="D16" s="2908">
        <f>D6*E16</f>
        <v>0</v>
      </c>
      <c r="E16" s="2909"/>
      <c r="F16" s="2894" t="s">
        <v>2385</v>
      </c>
      <c r="G16" s="2873"/>
      <c r="H16" s="2848"/>
      <c r="I16" s="2849"/>
      <c r="J16" s="3671"/>
      <c r="K16" s="367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2387</v>
      </c>
      <c r="C17" s="3684"/>
      <c r="D17" s="2911">
        <f>ROUND(D6*E17,0)</f>
        <v>0</v>
      </c>
      <c r="E17" s="2912"/>
      <c r="F17" s="2913" t="s">
        <v>2388</v>
      </c>
      <c r="G17" s="2873"/>
      <c r="H17" s="2848"/>
      <c r="I17" s="2849"/>
      <c r="J17" s="3671"/>
      <c r="K17" s="367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71"/>
      <c r="K18" s="367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71"/>
      <c r="K19" s="367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71"/>
      <c r="K21" s="367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71"/>
      <c r="K22" s="367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71"/>
      <c r="K23" s="367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71"/>
      <c r="K24" s="367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77" t="s">
        <v>2320</v>
      </c>
      <c r="K32" s="367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79" t="s">
        <v>2330</v>
      </c>
      <c r="K33" s="368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79" t="s">
        <v>2332</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71">
        <v>1</v>
      </c>
      <c r="K36" s="367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71"/>
      <c r="K40" s="367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68805.62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ht="15">
      <c r="A5" s="358"/>
      <c r="B5" s="359"/>
      <c r="C5" s="3727" t="s">
        <v>1673</v>
      </c>
      <c r="D5" s="3728"/>
      <c r="E5" s="3734" t="s">
        <v>1674</v>
      </c>
      <c r="F5" s="3735"/>
      <c r="G5" s="3727" t="s">
        <v>1675</v>
      </c>
      <c r="H5" s="3728"/>
      <c r="I5" s="3727" t="s">
        <v>1676</v>
      </c>
      <c r="J5" s="3728"/>
      <c r="K5" s="1890"/>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1890"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44978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14" sqref="F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3340</v>
      </c>
      <c r="D1" s="1362" t="s">
        <v>43</v>
      </c>
      <c r="E1" s="1363" t="s">
        <v>678</v>
      </c>
      <c r="F1" s="1062">
        <f ca="1">J53</f>
        <v>35.67</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13552</v>
      </c>
      <c r="C2" s="1387" t="s">
        <v>805</v>
      </c>
      <c r="D2" s="1387"/>
      <c r="E2" s="1388"/>
      <c r="F2" s="1389"/>
      <c r="G2" s="2706"/>
      <c r="H2" s="2695"/>
      <c r="I2" s="2695"/>
      <c r="J2" s="2695"/>
      <c r="K2" s="2696"/>
      <c r="L2" s="2695"/>
      <c r="M2" s="2695"/>
    </row>
    <row r="3" spans="1:37" ht="18" customHeight="1" thickBot="1">
      <c r="A3" s="1390" t="s">
        <v>806</v>
      </c>
      <c r="B3" s="1391">
        <f ca="1">IF(ISERROR(B2*10000/F43),0,ROUND(B2*10000/F43,0))</f>
        <v>6335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836</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836</v>
      </c>
      <c r="D6" s="155" t="s">
        <v>2109</v>
      </c>
      <c r="E6" s="302" t="s">
        <v>696</v>
      </c>
      <c r="F6" s="303">
        <f ca="1">INDIRECT("'数据-取费表'!u"&amp;$G$1)</f>
        <v>1200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3458" t="s">
        <v>697</v>
      </c>
      <c r="F7" s="303">
        <f ca="1">IF(INDIRECT("'数据-取费表'!ah"&amp;$G$1)="",INDIRECT("'数据-取费表'!k"&amp;$G$1),INDIRECT("'数据-取费表'!ah"&amp;$G$1))</f>
        <v>611</v>
      </c>
      <c r="G7" s="1384"/>
      <c r="H7" s="304"/>
      <c r="I7" s="3669"/>
      <c r="J7" s="306"/>
      <c r="K7" s="307"/>
      <c r="L7" s="302" t="s">
        <v>697</v>
      </c>
      <c r="M7" s="303">
        <f ca="1">F7</f>
        <v>611</v>
      </c>
    </row>
    <row r="8" spans="1:37" ht="18" customHeight="1">
      <c r="A8" s="304"/>
      <c r="B8" s="3669"/>
      <c r="C8" s="306"/>
      <c r="D8" s="307"/>
      <c r="E8" s="302" t="s">
        <v>698</v>
      </c>
      <c r="F8" s="303">
        <f ca="1">INDIRECT("'数据-取费表'!ai"&amp;$G$1)</f>
        <v>12</v>
      </c>
      <c r="G8" s="1384"/>
      <c r="H8" s="304"/>
      <c r="I8" s="3669"/>
      <c r="J8" s="306"/>
      <c r="K8" s="307"/>
      <c r="L8" s="302" t="s">
        <v>698</v>
      </c>
      <c r="M8" s="303">
        <f ca="1">INDIRECT("'数据-取费表'!ai"&amp;$G$1)</f>
        <v>12</v>
      </c>
    </row>
    <row r="9" spans="1:37" ht="18" customHeight="1">
      <c r="A9" s="304"/>
      <c r="B9" s="3670"/>
      <c r="C9" s="306"/>
      <c r="D9" s="307"/>
      <c r="E9" s="302" t="s">
        <v>699</v>
      </c>
      <c r="F9" s="312">
        <f ca="1">INDIRECT("'数据-取费表'!w"&amp;$G$1)</f>
        <v>0.05</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3411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9534</v>
      </c>
      <c r="D13" s="3450" t="s">
        <v>705</v>
      </c>
      <c r="E13" s="3450"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8635</v>
      </c>
      <c r="D14" s="3454" t="s">
        <v>708</v>
      </c>
      <c r="E14" s="3452"/>
      <c r="F14" s="319"/>
      <c r="G14" s="1384"/>
      <c r="H14" s="982" t="s">
        <v>398</v>
      </c>
      <c r="I14" s="302" t="s">
        <v>709</v>
      </c>
      <c r="J14" s="21">
        <f ca="1">C29</f>
        <v>11917</v>
      </c>
      <c r="K14" s="3457"/>
      <c r="L14" s="807"/>
      <c r="M14" s="808"/>
    </row>
    <row r="15" spans="1:37" s="1397" customFormat="1" ht="18" customHeight="1" thickBot="1">
      <c r="A15" s="982" t="s">
        <v>399</v>
      </c>
      <c r="B15" s="302" t="s">
        <v>710</v>
      </c>
      <c r="C15" s="21">
        <f ca="1">ROUND(C14*F15,0)</f>
        <v>259</v>
      </c>
      <c r="D15" s="3451" t="s">
        <v>711</v>
      </c>
      <c r="E15" s="3451"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128</v>
      </c>
      <c r="K16" s="1087" t="s">
        <v>715</v>
      </c>
      <c r="L16" s="3455"/>
      <c r="M16" s="1072"/>
    </row>
    <row r="17" spans="1:37" s="1397" customFormat="1" ht="18" customHeight="1">
      <c r="A17" s="982" t="s">
        <v>681</v>
      </c>
      <c r="B17" s="302" t="s">
        <v>716</v>
      </c>
      <c r="C17" s="21">
        <f ca="1">ROUND(F17*(F43+INDIRECT("'数据-取费表'!S"&amp;$G$1))/10000,0)</f>
        <v>432</v>
      </c>
      <c r="D17" s="302" t="s">
        <v>717</v>
      </c>
      <c r="E17" s="302" t="s">
        <v>718</v>
      </c>
      <c r="F17" s="23">
        <f>'数据-取费表'!B35</f>
        <v>200</v>
      </c>
      <c r="G17" s="1396"/>
      <c r="H17" s="982" t="s">
        <v>398</v>
      </c>
      <c r="I17" s="302" t="s">
        <v>719</v>
      </c>
      <c r="J17" s="2316">
        <f ca="1">ROUND(IF(AND(项目基本情况!B11="自然人",项目基本情况!B10="北京市"),J6*M17/(1+'数据-取费表'!C42),J18+J19+J20),2)</f>
        <v>8.51</v>
      </c>
      <c r="K17" s="3454"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130</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9456</v>
      </c>
      <c r="D19" s="131" t="s">
        <v>726</v>
      </c>
      <c r="E19" s="34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189</v>
      </c>
      <c r="D20" s="2428" t="s">
        <v>729</v>
      </c>
      <c r="E20" s="302" t="s">
        <v>712</v>
      </c>
      <c r="F20" s="322">
        <f>'数据-取费表'!B37</f>
        <v>0.02</v>
      </c>
      <c r="G20" s="1396"/>
      <c r="H20" s="982" t="s">
        <v>680</v>
      </c>
      <c r="I20" s="155" t="s">
        <v>730</v>
      </c>
      <c r="J20" s="22">
        <f ca="1">ROUND(M20*M21/10000,2)</f>
        <v>8.51</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3547.1099999999997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119.17</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400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3" t="s">
        <v>743</v>
      </c>
      <c r="L23" s="302" t="s">
        <v>712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-128</v>
      </c>
      <c r="K25" s="1095" t="s">
        <v>753</v>
      </c>
      <c r="L25" s="1096"/>
      <c r="M25" s="1097"/>
    </row>
    <row r="26" spans="1:37">
      <c r="A26" s="982" t="s">
        <v>397</v>
      </c>
      <c r="B26" s="302" t="s">
        <v>754</v>
      </c>
      <c r="C26" s="21">
        <f ca="1">ROUND((C19+C20)*F26,0)</f>
        <v>965</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11917</v>
      </c>
      <c r="D29" s="1092"/>
      <c r="E29" s="1090"/>
      <c r="F29" s="1093"/>
      <c r="G29" s="1396"/>
      <c r="H29" s="334" t="s">
        <v>396</v>
      </c>
      <c r="I29" s="335" t="s">
        <v>768</v>
      </c>
      <c r="J29" s="336">
        <f ca="1">ROUND(J26/(1+F40)^F41,0)</f>
        <v>0</v>
      </c>
      <c r="K29" s="337" t="s">
        <v>769</v>
      </c>
      <c r="L29" s="338"/>
      <c r="M29" s="339">
        <f ca="1">INDIRECT("'数据-取费表'!k"&amp;$G$1)</f>
        <v>21393.3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290</v>
      </c>
      <c r="D30" s="1087" t="s">
        <v>715</v>
      </c>
      <c r="E30" s="3455"/>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148.63999999999999</v>
      </c>
      <c r="D31" s="3454" t="s">
        <v>720</v>
      </c>
      <c r="E31" s="3453"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44.59</v>
      </c>
      <c r="D32" s="3453"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95.54</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8.51</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3547.1099999999997</v>
      </c>
      <c r="G35" s="1384"/>
      <c r="H35" s="2697"/>
      <c r="I35" s="1398"/>
      <c r="J35" s="1399"/>
      <c r="K35" s="2701"/>
      <c r="L35" s="2700"/>
      <c r="M35" s="2700"/>
    </row>
    <row r="36" spans="1:18" ht="18" customHeight="1">
      <c r="A36" s="1102" t="s">
        <v>402</v>
      </c>
      <c r="B36" s="302" t="s">
        <v>738</v>
      </c>
      <c r="C36" s="21">
        <f ca="1">ROUND(C29*F36,2)</f>
        <v>119.17</v>
      </c>
      <c r="D36" s="3453"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14.3</v>
      </c>
      <c r="D37" s="3453" t="s">
        <v>743</v>
      </c>
      <c r="E37" s="302" t="s">
        <v>712</v>
      </c>
      <c r="F37" s="330">
        <f ca="1">INDIRECT("'数据-取费表'!Al"&amp;$G$1)</f>
        <v>1.5E-3</v>
      </c>
      <c r="G37" s="1384"/>
      <c r="H37" s="2700"/>
      <c r="I37" s="1398"/>
      <c r="J37" s="1399"/>
      <c r="K37" s="2544"/>
      <c r="L37" s="2700"/>
      <c r="M37" s="2700"/>
    </row>
    <row r="38" spans="1:18" ht="18" customHeight="1" thickBot="1">
      <c r="A38" s="1089" t="s">
        <v>683</v>
      </c>
      <c r="B38" s="1090" t="s">
        <v>728</v>
      </c>
      <c r="C38" s="1091">
        <f ca="1">ROUND(C5*F38,2)</f>
        <v>8.36</v>
      </c>
      <c r="D38" s="1092" t="s">
        <v>748</v>
      </c>
      <c r="E38" s="1090" t="s">
        <v>712</v>
      </c>
      <c r="F38" s="1086">
        <f ca="1">INDIRECT("'数据-取费表'!Am"&amp;$G$1)</f>
        <v>0.01</v>
      </c>
      <c r="G38" s="1384"/>
      <c r="H38" s="2700"/>
      <c r="I38" s="1398"/>
      <c r="J38" s="1399"/>
      <c r="K38" s="2704"/>
      <c r="L38" s="2700"/>
      <c r="M38" s="2700"/>
    </row>
    <row r="39" spans="1:18" ht="24.6" customHeight="1" thickTop="1">
      <c r="A39" s="1079" t="s">
        <v>394</v>
      </c>
      <c r="B39" s="1094" t="s">
        <v>752</v>
      </c>
      <c r="C39" s="310">
        <f ca="1">C5-C30</f>
        <v>546</v>
      </c>
      <c r="D39" s="1095" t="s">
        <v>753</v>
      </c>
      <c r="E39" s="1096"/>
      <c r="F39" s="1097"/>
      <c r="G39" s="1384"/>
      <c r="H39" s="2700"/>
      <c r="I39" s="1398"/>
      <c r="J39" s="1399"/>
      <c r="K39" s="2704"/>
      <c r="L39" s="2700"/>
      <c r="M39" s="2700"/>
    </row>
    <row r="40" spans="1:18" ht="18" customHeight="1">
      <c r="A40" s="299" t="s">
        <v>395</v>
      </c>
      <c r="B40" s="300" t="s">
        <v>774</v>
      </c>
      <c r="C40" s="301">
        <f ca="1">ROUND(C39*(1-((1+F42)/(1+F40))^F41)/(F40-F42),0)</f>
        <v>13552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35.67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6335</v>
      </c>
      <c r="D43" s="337" t="s">
        <v>777</v>
      </c>
      <c r="E43" s="338" t="s">
        <v>778</v>
      </c>
      <c r="F43" s="339">
        <f ca="1">INDIRECT("'数据-取费表'!k"&amp;$G$1)</f>
        <v>21393.3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-15894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50</v>
      </c>
      <c r="M47" s="1380" t="str">
        <f>IF(ISNUMBER(FIND("住宅",C1)),"住宅","非住宅")</f>
        <v>非住宅</v>
      </c>
      <c r="O47" s="1418" t="s">
        <v>403</v>
      </c>
      <c r="P47" s="1419" t="s">
        <v>817</v>
      </c>
      <c r="Q47" s="1420">
        <f ca="1">C40+J29</f>
        <v>13552</v>
      </c>
      <c r="R47" s="1420" t="s">
        <v>818</v>
      </c>
    </row>
    <row r="48" spans="1:18" s="1384" customFormat="1" ht="28.5" thickBot="1">
      <c r="A48" s="1110" t="s">
        <v>438</v>
      </c>
      <c r="B48" s="300" t="s">
        <v>692</v>
      </c>
      <c r="C48" s="3459">
        <f ca="1">C49+C53+C55</f>
        <v>0</v>
      </c>
      <c r="D48" s="1112"/>
      <c r="E48" s="1113"/>
      <c r="F48" s="962"/>
      <c r="G48" s="722"/>
      <c r="H48" s="723"/>
      <c r="I48" s="1421" t="s">
        <v>819</v>
      </c>
      <c r="J48" s="1422" t="s">
        <v>3410</v>
      </c>
      <c r="K48" s="1423" t="s">
        <v>820</v>
      </c>
      <c r="L48" s="1424">
        <f ca="1">INDIRECT("'数据-取费表'!f"&amp;$G$1)</f>
        <v>35.67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11917</v>
      </c>
      <c r="R49" s="1420" t="s">
        <v>818</v>
      </c>
    </row>
    <row r="50" spans="1:18" s="1384" customFormat="1" ht="13.5" thickBot="1">
      <c r="A50" s="976"/>
      <c r="B50" s="979"/>
      <c r="C50" s="1118"/>
      <c r="D50" s="953"/>
      <c r="E50" s="1056" t="s">
        <v>697</v>
      </c>
      <c r="F50" s="1057">
        <f ca="1">F7</f>
        <v>611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-3489</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35.67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35.67</v>
      </c>
      <c r="K53" s="3666" t="s">
        <v>837</v>
      </c>
      <c r="L53" s="3667"/>
      <c r="O53" s="1418" t="s">
        <v>409</v>
      </c>
      <c r="P53" s="1419" t="s">
        <v>838</v>
      </c>
      <c r="Q53" s="1420">
        <f ca="1">Q47+Q48</f>
        <v>13552</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9534</v>
      </c>
      <c r="D56" s="1447"/>
      <c r="E56" s="1448"/>
      <c r="F56" s="1440"/>
      <c r="I56" s="1449" t="s">
        <v>842</v>
      </c>
      <c r="J56" s="1450" t="s">
        <v>3385</v>
      </c>
      <c r="K56" s="1421" t="s">
        <v>843</v>
      </c>
      <c r="L56" s="1424" t="str">
        <f ca="1">IF(L48&lt;J51,"——",L48-J53)</f>
        <v>——</v>
      </c>
      <c r="O56" s="1418" t="s">
        <v>403</v>
      </c>
      <c r="P56" s="1419" t="s">
        <v>817</v>
      </c>
      <c r="Q56" s="1420">
        <f ca="1">C40+J29</f>
        <v>13552</v>
      </c>
      <c r="R56" s="1420" t="s">
        <v>818</v>
      </c>
    </row>
    <row r="57" spans="1:18" s="1384" customFormat="1" ht="24.75" thickBot="1">
      <c r="A57" s="1451"/>
      <c r="B57" s="950" t="s">
        <v>767</v>
      </c>
      <c r="C57" s="238">
        <f ca="1">C29</f>
        <v>11917</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9</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3343</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8.51</v>
      </c>
      <c r="D62" s="965" t="s">
        <v>731</v>
      </c>
      <c r="E62" s="950" t="s">
        <v>732</v>
      </c>
      <c r="F62" s="325">
        <f t="shared" si="0"/>
        <v>24</v>
      </c>
      <c r="I62" s="1462" t="s">
        <v>858</v>
      </c>
      <c r="J62" s="1463" t="s">
        <v>859</v>
      </c>
      <c r="K62" s="1463" t="s">
        <v>860</v>
      </c>
      <c r="L62" s="1463" t="s">
        <v>861</v>
      </c>
      <c r="M62" s="1464" t="s">
        <v>862</v>
      </c>
      <c r="O62" s="1418" t="s">
        <v>409</v>
      </c>
      <c r="P62" s="1419" t="s">
        <v>838</v>
      </c>
      <c r="Q62" s="1420">
        <f ca="1">Q56+Q57</f>
        <v>13552</v>
      </c>
      <c r="R62" s="1420" t="s">
        <v>410</v>
      </c>
    </row>
    <row r="63" spans="1:18" s="1384" customFormat="1" ht="13.5" thickBot="1">
      <c r="A63" s="326"/>
      <c r="B63" s="956"/>
      <c r="C63" s="26"/>
      <c r="D63" s="966"/>
      <c r="E63" s="950" t="s">
        <v>736</v>
      </c>
      <c r="F63" s="303">
        <f t="shared" ca="1" si="0"/>
        <v>3547.1099999999997</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119.17</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14.3</v>
      </c>
      <c r="D65" s="964" t="s">
        <v>743</v>
      </c>
      <c r="E65" s="950" t="s">
        <v>712</v>
      </c>
      <c r="F65" s="330">
        <f t="shared" ca="1" si="0"/>
        <v>1.5E-3</v>
      </c>
      <c r="I65" s="1462" t="s">
        <v>867</v>
      </c>
      <c r="J65" s="1463">
        <v>40</v>
      </c>
      <c r="K65" s="1463">
        <v>30</v>
      </c>
      <c r="L65" s="1463">
        <v>50</v>
      </c>
      <c r="M65" s="1465">
        <v>0.02</v>
      </c>
      <c r="O65" s="1418" t="s">
        <v>403</v>
      </c>
      <c r="P65" s="1419" t="s">
        <v>817</v>
      </c>
      <c r="Q65" s="1420">
        <f ca="1">C40+J29</f>
        <v>13552</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-142</v>
      </c>
      <c r="D67" s="963" t="s">
        <v>753</v>
      </c>
      <c r="E67" s="968"/>
      <c r="F67" s="969"/>
      <c r="O67" s="1428" t="s">
        <v>405</v>
      </c>
      <c r="P67" s="1419" t="s">
        <v>850</v>
      </c>
      <c r="Q67" s="1466">
        <f ca="1">L51</f>
        <v>-3489</v>
      </c>
      <c r="R67" s="1420" t="s">
        <v>870</v>
      </c>
    </row>
    <row r="68" spans="1:18" s="1384" customFormat="1" ht="16.5" thickBot="1">
      <c r="A68" s="947" t="s">
        <v>395</v>
      </c>
      <c r="B68" s="948" t="s">
        <v>774</v>
      </c>
      <c r="C68" s="301">
        <f ca="1">ROUND(C67*(1-((1+F70)/(1+F68))^F69)/(F68-F70),0)</f>
        <v>-2342</v>
      </c>
      <c r="D68" s="965" t="s">
        <v>758</v>
      </c>
      <c r="E68" s="950" t="s">
        <v>759</v>
      </c>
      <c r="F68" s="312">
        <f ca="1">F40</f>
        <v>0.05</v>
      </c>
      <c r="O68" s="1428" t="s">
        <v>406</v>
      </c>
      <c r="P68" s="1467" t="s">
        <v>871</v>
      </c>
      <c r="Q68" s="1420">
        <f ca="1">ROUND(Q69-Q70*Q71,0)</f>
        <v>-169</v>
      </c>
      <c r="R68" s="1420" t="s">
        <v>414</v>
      </c>
    </row>
    <row r="69" spans="1:18" s="1384" customFormat="1" ht="13.5" thickBot="1">
      <c r="A69" s="951"/>
      <c r="B69" s="952"/>
      <c r="C69" s="306"/>
      <c r="D69" s="970" t="s">
        <v>762</v>
      </c>
      <c r="E69" s="950" t="s">
        <v>763</v>
      </c>
      <c r="F69" s="333">
        <f ca="1">F41</f>
        <v>35.67</v>
      </c>
      <c r="O69" s="1428" t="s">
        <v>411</v>
      </c>
      <c r="P69" s="1467" t="s">
        <v>872</v>
      </c>
      <c r="Q69" s="1420">
        <f ca="1">C39</f>
        <v>546</v>
      </c>
      <c r="R69" s="1420" t="s">
        <v>818</v>
      </c>
    </row>
    <row r="70" spans="1:18" s="1384" customFormat="1" ht="13.5" thickBot="1">
      <c r="A70" s="954"/>
      <c r="B70" s="955"/>
      <c r="C70" s="310"/>
      <c r="D70" s="966"/>
      <c r="E70" s="950" t="s">
        <v>766</v>
      </c>
      <c r="F70" s="1054"/>
      <c r="O70" s="1428" t="s">
        <v>412</v>
      </c>
      <c r="P70" s="1467" t="s">
        <v>873</v>
      </c>
      <c r="Q70" s="1420">
        <f ca="1">C13</f>
        <v>9534</v>
      </c>
      <c r="R70" s="1420" t="s">
        <v>818</v>
      </c>
    </row>
    <row r="71" spans="1:18" s="1384" customFormat="1" ht="13.5" thickBot="1">
      <c r="A71" s="971" t="s">
        <v>396</v>
      </c>
      <c r="B71" s="972" t="s">
        <v>776</v>
      </c>
      <c r="C71" s="336">
        <f ca="1">ROUND(C68*10000/F71,0)</f>
        <v>-1095</v>
      </c>
      <c r="D71" s="973" t="s">
        <v>777</v>
      </c>
      <c r="E71" s="974" t="s">
        <v>778</v>
      </c>
      <c r="F71" s="339">
        <f ca="1">F43</f>
        <v>21393.3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715</v>
      </c>
      <c r="D75" s="1384"/>
      <c r="E75" s="1384"/>
      <c r="F75" s="1384"/>
      <c r="K75" s="1402"/>
      <c r="L75" s="1384"/>
      <c r="O75" s="1418" t="s">
        <v>409</v>
      </c>
      <c r="P75" s="1419" t="s">
        <v>838</v>
      </c>
      <c r="Q75" s="1420">
        <f ca="1">Q65+Q66</f>
        <v>13552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-0.31000000000000005</v>
      </c>
    </row>
    <row r="80" spans="1:18">
      <c r="B80" s="340" t="s">
        <v>800</v>
      </c>
      <c r="C80" s="274">
        <f ca="1">ROUND(C75/C39,3)</f>
        <v>1.31</v>
      </c>
    </row>
    <row r="81" spans="2:3">
      <c r="B81" s="270" t="s">
        <v>801</v>
      </c>
      <c r="C81" s="238"/>
    </row>
    <row r="82" spans="2:3">
      <c r="B82" s="273" t="s">
        <v>802</v>
      </c>
      <c r="C82" s="275">
        <f ca="1">1-C83</f>
        <v>0.29600000000000004</v>
      </c>
    </row>
    <row r="83" spans="2:3">
      <c r="B83" s="273" t="s">
        <v>803</v>
      </c>
      <c r="C83" s="274">
        <f ca="1">ROUND(C13/C40,3)</f>
        <v>0.70399999999999996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68805.62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24"/>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24"/>
      <c r="AC6" s="3707"/>
    </row>
    <row r="7" spans="1:29" s="108" customFormat="1" ht="15.75" thickBot="1">
      <c r="A7" s="362" t="s">
        <v>1679</v>
      </c>
      <c r="B7" s="363"/>
      <c r="C7" s="364">
        <f>'数据-取费表'!B2</f>
        <v>44978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E49" sqref="E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673</v>
      </c>
      <c r="E1" s="3433" t="s">
        <v>3416</v>
      </c>
      <c r="F1" s="1879" t="s">
        <v>3417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210563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45000</v>
      </c>
      <c r="C3" s="354" t="s">
        <v>1768</v>
      </c>
      <c r="D3" s="353">
        <f>IF(D1="",'数据-汇总表'!E3,SUMIF('数据-汇总表'!$C19:$C33,D1,'数据-汇总表'!$E19:$E33))</f>
        <v>46791.759999999995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ht="15">
      <c r="A5" s="358"/>
      <c r="B5" s="359"/>
      <c r="C5" s="3727" t="s">
        <v>1673</v>
      </c>
      <c r="D5" s="3728"/>
      <c r="E5" s="3734" t="s">
        <v>1674</v>
      </c>
      <c r="F5" s="3735"/>
      <c r="G5" s="3727" t="s">
        <v>1675</v>
      </c>
      <c r="H5" s="3728"/>
      <c r="I5" s="3727" t="s">
        <v>1676</v>
      </c>
      <c r="J5" s="3728"/>
      <c r="K5" s="559"/>
      <c r="L5" s="2715"/>
      <c r="M5" s="2716"/>
      <c r="N5" s="2716"/>
      <c r="O5" s="2716"/>
      <c r="P5" s="3744"/>
      <c r="Q5" s="3715"/>
      <c r="R5" s="3720"/>
      <c r="S5" s="3721"/>
      <c r="T5" s="3720"/>
      <c r="U5" s="3721"/>
      <c r="V5" s="3724"/>
      <c r="W5" s="3724"/>
      <c r="X5" s="1355"/>
      <c r="Y5" s="3720"/>
      <c r="Z5" s="3721"/>
      <c r="AA5" s="3706"/>
      <c r="AB5" s="3706"/>
      <c r="AC5" s="3740"/>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45"/>
      <c r="Q6" s="3717"/>
      <c r="R6" s="3720"/>
      <c r="S6" s="3721"/>
      <c r="T6" s="3722"/>
      <c r="U6" s="3723"/>
      <c r="V6" s="3724"/>
      <c r="W6" s="3724"/>
      <c r="X6" s="1355"/>
      <c r="Y6" s="3722"/>
      <c r="Z6" s="3723"/>
      <c r="AA6" s="3707"/>
      <c r="AB6" s="3707"/>
      <c r="AC6" s="3741"/>
    </row>
    <row r="7" spans="1:29" s="108" customFormat="1" ht="15.75" thickBot="1">
      <c r="A7" s="362" t="s">
        <v>1679</v>
      </c>
      <c r="B7" s="363"/>
      <c r="C7" s="364">
        <f>'数据-取费表'!B2</f>
        <v>44978</v>
      </c>
      <c r="D7" s="365">
        <v>100</v>
      </c>
      <c r="E7" s="366">
        <f>C7</f>
        <v>44978</v>
      </c>
      <c r="F7" s="367">
        <f>SUMIF(59:59,YEAR(E7)&amp;"-"&amp;MONTH(E7),60:60)</f>
        <v>100</v>
      </c>
      <c r="G7" s="366">
        <f>C7</f>
        <v>44978</v>
      </c>
      <c r="H7" s="365">
        <f>SUMIF(59:59,YEAR(G7)&amp;"-"&amp;MONTH(G7),60:60)</f>
        <v>100</v>
      </c>
      <c r="I7" s="366">
        <f>C7</f>
        <v>44978</v>
      </c>
      <c r="J7" s="365">
        <f>SUMIF(59:59,YEAR(I7)&amp;"-"&amp;MONTH(I7),60:60)</f>
        <v>100</v>
      </c>
      <c r="K7" s="560"/>
      <c r="L7" s="2717"/>
      <c r="M7" s="2718"/>
      <c r="N7" s="2718"/>
      <c r="O7" s="2718"/>
      <c r="P7" s="3749" t="s">
        <v>1680</v>
      </c>
      <c r="Q7" s="3731"/>
      <c r="R7" s="701" t="s">
        <v>14</v>
      </c>
      <c r="S7" s="702">
        <f t="shared" ref="S7:S15" si="0">F7</f>
        <v>100</v>
      </c>
      <c r="T7" s="701" t="s">
        <v>14</v>
      </c>
      <c r="U7" s="702">
        <f t="shared" ref="U7:U15" si="1">H7</f>
        <v>100</v>
      </c>
      <c r="V7" s="701" t="s">
        <v>14</v>
      </c>
      <c r="W7" s="702">
        <f t="shared" ref="W7:W15" si="2">J7</f>
        <v>100</v>
      </c>
      <c r="X7" s="703"/>
      <c r="Y7" s="3729" t="s">
        <v>1680</v>
      </c>
      <c r="Z7" s="3730"/>
      <c r="AA7" s="704">
        <f>D7/F7</f>
        <v>1</v>
      </c>
      <c r="AB7" s="704">
        <f>D7/H7</f>
        <v>1</v>
      </c>
      <c r="AC7" s="1959">
        <f>D7/J7</f>
        <v>1</v>
      </c>
    </row>
    <row r="8" spans="1:29" s="108" customFormat="1" ht="15.75" thickBot="1">
      <c r="A8" s="362" t="s">
        <v>1681</v>
      </c>
      <c r="B8" s="363"/>
      <c r="C8" s="368" t="s">
        <v>3418</v>
      </c>
      <c r="D8" s="365">
        <v>100</v>
      </c>
      <c r="E8" s="368" t="s">
        <v>3418</v>
      </c>
      <c r="F8" s="367">
        <f>SUMIF(62:62,E8,63:63)-SUMIF(62:62,C8,63:63)+100</f>
        <v>100</v>
      </c>
      <c r="G8" s="368" t="s">
        <v>3418</v>
      </c>
      <c r="H8" s="365">
        <f>SUMIF(62:62,G8,63:63)-SUMIF(62:62,C8,63:63)+100</f>
        <v>100</v>
      </c>
      <c r="I8" s="368" t="s">
        <v>3418</v>
      </c>
      <c r="J8" s="365">
        <f>SUMIF(62:62,I8,63:63)-SUMIF(62:62,C8,63:63)+100</f>
        <v>100</v>
      </c>
      <c r="K8" s="560"/>
      <c r="L8" s="2717"/>
      <c r="M8" s="2718"/>
      <c r="N8" s="2718"/>
      <c r="O8" s="2718"/>
      <c r="P8" s="3749"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98"/>
      <c r="Q34" s="707" t="str">
        <f t="shared" si="11"/>
        <v>项目建筑规模</v>
      </c>
      <c r="R34" s="708" t="s">
        <v>14</v>
      </c>
      <c r="S34" s="709">
        <f t="shared" si="12"/>
        <v>100</v>
      </c>
      <c r="T34" s="708" t="s">
        <v>14</v>
      </c>
      <c r="U34" s="709">
        <f t="shared" si="13"/>
        <v>100</v>
      </c>
      <c r="V34" s="708" t="s">
        <v>14</v>
      </c>
      <c r="W34" s="709">
        <f t="shared" si="14"/>
        <v>100</v>
      </c>
      <c r="X34" s="710"/>
      <c r="Y34" s="3700"/>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f>'数据-取费表'!N6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c r="L37" s="2722"/>
      <c r="M37" s="2716"/>
      <c r="N37" s="2716"/>
      <c r="O37" s="2716"/>
      <c r="P37" s="3698"/>
      <c r="Q37" s="1352" t="str">
        <f t="shared" si="11"/>
        <v>成新度</v>
      </c>
      <c r="R37" s="705" t="s">
        <v>14</v>
      </c>
      <c r="S37" s="706">
        <f t="shared" si="12"/>
        <v>100</v>
      </c>
      <c r="T37" s="705" t="s">
        <v>14</v>
      </c>
      <c r="U37" s="706">
        <f t="shared" si="13"/>
        <v>100</v>
      </c>
      <c r="V37" s="705" t="s">
        <v>14</v>
      </c>
      <c r="W37" s="706">
        <f t="shared" si="14"/>
        <v>100</v>
      </c>
      <c r="X37" s="1355"/>
      <c r="Y37" s="3700"/>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v>45000</v>
      </c>
      <c r="F48" s="1157"/>
      <c r="G48" s="1158">
        <v>45000</v>
      </c>
      <c r="H48" s="1159"/>
      <c r="I48" s="1156">
        <v>45000</v>
      </c>
      <c r="J48" s="436"/>
      <c r="K48" s="714"/>
      <c r="L48" s="2724"/>
      <c r="M48" s="2716"/>
      <c r="N48" s="2716"/>
      <c r="O48" s="2716"/>
      <c r="P48" s="3704" t="str">
        <f>A48</f>
        <v>成交单价（元/平方米）</v>
      </c>
      <c r="Q48" s="3693"/>
      <c r="R48" s="3694">
        <f>E48</f>
        <v>45000</v>
      </c>
      <c r="S48" s="3694"/>
      <c r="T48" s="3694">
        <f>G48</f>
        <v>45000</v>
      </c>
      <c r="U48" s="3694"/>
      <c r="V48" s="3694">
        <f>I48</f>
        <v>45000</v>
      </c>
      <c r="W48" s="3694"/>
      <c r="X48" s="397"/>
      <c r="Y48" s="712"/>
      <c r="Z48" s="397"/>
      <c r="AA48" s="397"/>
      <c r="AB48" s="397"/>
      <c r="AC48" s="578"/>
    </row>
    <row r="49" spans="1:29" ht="15.75" thickBot="1">
      <c r="A49" s="437" t="s">
        <v>1793</v>
      </c>
      <c r="B49" s="438"/>
      <c r="C49" s="1160">
        <f>R50</f>
        <v>45000</v>
      </c>
      <c r="D49" s="2317" t="s">
        <v>2138</v>
      </c>
      <c r="E49" s="1161">
        <f>R49</f>
        <v>45000</v>
      </c>
      <c r="F49" s="2318"/>
      <c r="G49" s="1160">
        <f>T49</f>
        <v>45000</v>
      </c>
      <c r="H49" s="2318"/>
      <c r="I49" s="1161">
        <f>V49</f>
        <v>45000</v>
      </c>
      <c r="J49" s="2318"/>
      <c r="K49" s="2320">
        <f>F49+H49+J49</f>
        <v>0</v>
      </c>
      <c r="L49" s="2724"/>
      <c r="M49" s="2716"/>
      <c r="N49" s="2716"/>
      <c r="O49" s="2716"/>
      <c r="P49" s="3704" t="str">
        <f>A49</f>
        <v>比较价值（元/平方米）</v>
      </c>
      <c r="Q49" s="3693"/>
      <c r="R49" s="3694">
        <f>IF(F1="售价",ROUND(PRODUCT(R48,AA7:AA47),0),ROUND(PRODUCT(R48,AA7:AA47),1))</f>
        <v>45000</v>
      </c>
      <c r="S49" s="3694"/>
      <c r="T49" s="3694">
        <f>IF(F1="售价",ROUND(PRODUCT(T48,AB7:AB47),0),ROUND(PRODUCT(T48,AB7:AB47),1))</f>
        <v>45000</v>
      </c>
      <c r="U49" s="3694"/>
      <c r="V49" s="3694">
        <f>IF(F1="售价",ROUND(PRODUCT(V48,AC7:AC47),0),ROUND(PRODUCT(V48,AC7:AC47),1))</f>
        <v>45000</v>
      </c>
      <c r="W49" s="3694"/>
      <c r="X49" s="397"/>
      <c r="Y49" s="397"/>
      <c r="Z49" s="397"/>
      <c r="AA49" s="397"/>
      <c r="AB49" s="397"/>
      <c r="AC49" s="578"/>
    </row>
    <row r="50" spans="1:29" ht="15.75" thickBot="1">
      <c r="A50" s="441" t="s">
        <v>1794</v>
      </c>
      <c r="B50" s="442"/>
      <c r="C50" s="1163">
        <f>R50</f>
        <v>45000</v>
      </c>
      <c r="D50" s="1163"/>
      <c r="E50" s="1163"/>
      <c r="F50" s="1163"/>
      <c r="G50" s="1163"/>
      <c r="H50" s="1163"/>
      <c r="I50" s="1163"/>
      <c r="J50" s="443"/>
      <c r="K50" s="715"/>
      <c r="L50" s="2724"/>
      <c r="M50" s="2716"/>
      <c r="N50" s="2716"/>
      <c r="O50" s="2716"/>
      <c r="P50" s="3736" t="str">
        <f>A50</f>
        <v>估价对象XX用房的比较价值（楼面单价，元/平方米）</v>
      </c>
      <c r="Q50" s="3737"/>
      <c r="R50" s="3738">
        <f>IF(F1="售价",ROUND(IF(D49="简单平均",AVERAGE(R49:V49),R49*F49+T49*H49+V49*J49),0),ROUND(IF(D49="简单平均",AVERAGE(R49:V49),R49*F49+T49*H49+V49*J49),1))</f>
        <v>45000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估价对象为北京市房地产，为所有。根据《国有土地使用证》[]，估价对象（分摊）出让国有建设用地使用权面积为11305.41平方米，建筑面积为68805.62平方米。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估价对象为北京市房地产,属开发建设的，该项目尚在开发建设中。根据《国有土地使用证》[]，估价对象（分摊）出让国有建设用地使用权面积为11305.41平方米，规划建筑面积为68805.62平方米。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68805.62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44978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30"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30" s="108" customFormat="1" ht="15.75" thickBot="1">
      <c r="A7" s="362" t="s">
        <v>1679</v>
      </c>
      <c r="B7" s="363"/>
      <c r="C7" s="364">
        <f>'数据-取费表'!B2</f>
        <v>44978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93"/>
      <c r="Q10" s="1343" t="str">
        <f t="shared" si="6"/>
        <v>土地使用年限（年）</v>
      </c>
      <c r="R10" s="701" t="s">
        <v>14</v>
      </c>
      <c r="S10" s="702">
        <f t="shared" si="0"/>
        <v>118</v>
      </c>
      <c r="T10" s="701" t="s">
        <v>14</v>
      </c>
      <c r="U10" s="702">
        <f t="shared" si="1"/>
        <v>118</v>
      </c>
      <c r="V10" s="701" t="s">
        <v>14</v>
      </c>
      <c r="W10" s="702">
        <f t="shared" si="2"/>
        <v>118</v>
      </c>
      <c r="X10" s="703"/>
      <c r="Y10" s="3551"/>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37408.559999999998</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一级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一级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一级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21393.3</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58801.86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44978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93"/>
      <c r="Q10" s="1343" t="str">
        <f t="shared" si="6"/>
        <v>土地使用年限（年）</v>
      </c>
      <c r="R10" s="701" t="s">
        <v>14</v>
      </c>
      <c r="S10" s="702">
        <f t="shared" si="0"/>
        <v>118</v>
      </c>
      <c r="T10" s="701" t="s">
        <v>14</v>
      </c>
      <c r="U10" s="702">
        <f t="shared" si="1"/>
        <v>118</v>
      </c>
      <c r="V10" s="701" t="s">
        <v>14</v>
      </c>
      <c r="W10" s="702">
        <f t="shared" si="2"/>
        <v>118</v>
      </c>
      <c r="X10" s="703"/>
      <c r="Y10" s="3551"/>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37408.559999999998</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一级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一级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一级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21393.3</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11305.41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121734</v>
      </c>
      <c r="C2" s="2145" t="s">
        <v>2074</v>
      </c>
      <c r="D2" s="2145" t="s">
        <v>2075</v>
      </c>
      <c r="E2" s="2612">
        <f ca="1">SUMIF(E6:E13,"&lt;&gt;#ref!",E6:E13)</f>
        <v>59422.42</v>
      </c>
      <c r="F2" s="2793"/>
      <c r="G2" s="2793"/>
      <c r="H2" s="2793"/>
      <c r="I2" s="2793"/>
      <c r="J2" s="2793"/>
      <c r="K2" s="2793"/>
      <c r="L2" s="2793"/>
      <c r="M2" s="2793"/>
      <c r="N2" s="2793"/>
      <c r="O2" s="2793"/>
      <c r="P2" s="2793"/>
    </row>
    <row r="3" spans="1:16" ht="15.75">
      <c r="A3" s="2145" t="s">
        <v>2076</v>
      </c>
      <c r="B3" s="2602">
        <f ca="1">ROUND(B2*10000/E2,0)</f>
        <v>20486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121734</v>
      </c>
      <c r="C6" s="2145" t="s">
        <v>2074</v>
      </c>
      <c r="D6" s="2793"/>
      <c r="E6" s="2612">
        <f ca="1">SUMIF(INDIRECT("'"&amp;A6&amp;"'"&amp;"!C:C"),"建筑面积",INDIRECT("'"&amp;A6&amp;"'"&amp;"!D:D"))</f>
        <v>59422.42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5" t="s">
        <v>2610</v>
      </c>
      <c r="B20" s="3770" t="s">
        <v>2631</v>
      </c>
      <c r="C20" s="3103" t="s">
        <v>2442</v>
      </c>
      <c r="D20" s="3104"/>
      <c r="E20" s="3105">
        <v>1</v>
      </c>
      <c r="F20" s="3106" t="s">
        <v>2443</v>
      </c>
      <c r="G20" s="3106"/>
    </row>
    <row r="21" spans="1:13" ht="19.5" customHeight="1">
      <c r="A21" s="3776"/>
      <c r="B21" s="3769"/>
      <c r="C21" s="3107" t="s">
        <v>2444</v>
      </c>
      <c r="D21" s="3108"/>
      <c r="E21" s="3109">
        <v>1</v>
      </c>
      <c r="F21" s="3106" t="s">
        <v>2445</v>
      </c>
      <c r="G21" s="3106"/>
    </row>
    <row r="22" spans="1:13" ht="19.5" customHeight="1">
      <c r="A22" s="3776"/>
      <c r="B22" s="3769"/>
      <c r="C22" s="3107" t="s">
        <v>2446</v>
      </c>
      <c r="D22" s="3108"/>
      <c r="E22" s="3109">
        <v>0.9</v>
      </c>
      <c r="F22" s="3106" t="s">
        <v>2447</v>
      </c>
      <c r="G22" s="3106"/>
    </row>
    <row r="23" spans="1:13" ht="19.5" customHeight="1">
      <c r="A23" s="3776"/>
      <c r="B23" s="3769"/>
      <c r="C23" s="3107" t="s">
        <v>2448</v>
      </c>
      <c r="D23" s="3108"/>
      <c r="E23" s="3109">
        <v>0.9</v>
      </c>
      <c r="F23" s="3106" t="s">
        <v>2449</v>
      </c>
      <c r="G23" s="3106"/>
    </row>
    <row r="24" spans="1:13" ht="19.5" customHeight="1">
      <c r="A24" s="3776"/>
      <c r="B24" s="3769"/>
      <c r="C24" s="3107" t="s">
        <v>2450</v>
      </c>
      <c r="D24" s="3108"/>
      <c r="E24" s="3109">
        <v>0.8</v>
      </c>
      <c r="F24" s="3106" t="s">
        <v>2451</v>
      </c>
      <c r="G24" s="3106"/>
    </row>
    <row r="25" spans="1:13" ht="19.5" customHeight="1" thickBot="1">
      <c r="A25" s="3777"/>
      <c r="B25" s="377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2" t="s">
        <v>2634</v>
      </c>
      <c r="B27" s="3770" t="s">
        <v>2615</v>
      </c>
      <c r="C27" s="3103" t="s">
        <v>2455</v>
      </c>
      <c r="D27" s="3104"/>
      <c r="E27" s="3105">
        <v>1</v>
      </c>
      <c r="F27" s="3106" t="s">
        <v>2456</v>
      </c>
      <c r="G27" s="3106"/>
    </row>
    <row r="28" spans="1:13" ht="19.5" customHeight="1">
      <c r="A28" s="3773"/>
      <c r="B28" s="3769"/>
      <c r="C28" s="3107" t="s">
        <v>2457</v>
      </c>
      <c r="D28" s="3108"/>
      <c r="E28" s="3109">
        <v>1</v>
      </c>
      <c r="F28" s="3106" t="s">
        <v>2458</v>
      </c>
      <c r="G28" s="3106"/>
    </row>
    <row r="29" spans="1:13" ht="19.5" customHeight="1">
      <c r="A29" s="3773"/>
      <c r="B29" s="3769"/>
      <c r="C29" s="3107" t="s">
        <v>2459</v>
      </c>
      <c r="D29" s="3108"/>
      <c r="E29" s="3109">
        <v>0.8</v>
      </c>
      <c r="F29" s="3106" t="s">
        <v>2460</v>
      </c>
      <c r="G29" s="3106"/>
    </row>
    <row r="30" spans="1:13" ht="19.5" customHeight="1">
      <c r="A30" s="3773"/>
      <c r="B30" s="3769"/>
      <c r="C30" s="3107" t="s">
        <v>2461</v>
      </c>
      <c r="D30" s="3108"/>
      <c r="E30" s="3109">
        <v>0.8</v>
      </c>
      <c r="F30" s="3106" t="s">
        <v>2462</v>
      </c>
      <c r="G30" s="3106"/>
    </row>
    <row r="31" spans="1:13" ht="19.5" customHeight="1">
      <c r="A31" s="3773"/>
      <c r="B31" s="3769"/>
      <c r="C31" s="3107" t="s">
        <v>2463</v>
      </c>
      <c r="D31" s="3108"/>
      <c r="E31" s="3109">
        <v>0.8</v>
      </c>
      <c r="F31" s="3106" t="s">
        <v>2464</v>
      </c>
      <c r="G31" s="3106"/>
    </row>
    <row r="32" spans="1:13" ht="19.5" customHeight="1">
      <c r="A32" s="3773"/>
      <c r="B32" s="3769"/>
      <c r="C32" s="3107" t="s">
        <v>2465</v>
      </c>
      <c r="D32" s="3108"/>
      <c r="E32" s="3109">
        <v>0.7</v>
      </c>
      <c r="F32" s="3106" t="s">
        <v>2466</v>
      </c>
      <c r="G32" s="3106"/>
    </row>
    <row r="33" spans="1:7" ht="19.5" customHeight="1">
      <c r="A33" s="3773"/>
      <c r="B33" s="3769"/>
      <c r="C33" s="3107" t="s">
        <v>2467</v>
      </c>
      <c r="D33" s="3108"/>
      <c r="E33" s="3109">
        <v>0.8</v>
      </c>
      <c r="F33" s="3106" t="s">
        <v>2468</v>
      </c>
      <c r="G33" s="3106"/>
    </row>
    <row r="34" spans="1:7" ht="19.5" customHeight="1">
      <c r="A34" s="3773"/>
      <c r="B34" s="3769"/>
      <c r="C34" s="3107" t="s">
        <v>2469</v>
      </c>
      <c r="D34" s="3108"/>
      <c r="E34" s="3109">
        <v>0.6</v>
      </c>
      <c r="F34" s="3106" t="s">
        <v>2470</v>
      </c>
      <c r="G34" s="3106"/>
    </row>
    <row r="35" spans="1:7" ht="19.5" customHeight="1">
      <c r="A35" s="3773"/>
      <c r="B35" s="3769"/>
      <c r="C35" s="3107" t="s">
        <v>2471</v>
      </c>
      <c r="D35" s="3108"/>
      <c r="E35" s="3109">
        <v>0.2</v>
      </c>
      <c r="F35" s="3106" t="s">
        <v>2472</v>
      </c>
      <c r="G35" s="3106"/>
    </row>
    <row r="36" spans="1:7" ht="19.5" customHeight="1">
      <c r="A36" s="3773"/>
      <c r="B36" s="3769"/>
      <c r="C36" s="3107" t="s">
        <v>2473</v>
      </c>
      <c r="D36" s="3108"/>
      <c r="E36" s="3109">
        <v>0.2</v>
      </c>
      <c r="F36" s="3106" t="s">
        <v>2474</v>
      </c>
      <c r="G36" s="3106"/>
    </row>
    <row r="37" spans="1:7" ht="19.5" customHeight="1">
      <c r="A37" s="3773"/>
      <c r="B37" s="3767" t="s">
        <v>2635</v>
      </c>
      <c r="C37" s="3107" t="s">
        <v>2475</v>
      </c>
      <c r="D37" s="3108"/>
      <c r="E37" s="3109">
        <v>0.6</v>
      </c>
      <c r="F37" s="3106" t="s">
        <v>2476</v>
      </c>
      <c r="G37" s="3106"/>
    </row>
    <row r="38" spans="1:7" ht="19.5" customHeight="1">
      <c r="A38" s="3773"/>
      <c r="B38" s="3769"/>
      <c r="C38" s="3107" t="s">
        <v>2477</v>
      </c>
      <c r="D38" s="3108"/>
      <c r="E38" s="3109">
        <v>0.6</v>
      </c>
      <c r="F38" s="3106" t="s">
        <v>2478</v>
      </c>
      <c r="G38" s="3106"/>
    </row>
    <row r="39" spans="1:7" ht="19.5" customHeight="1" thickBot="1">
      <c r="A39" s="3774"/>
      <c r="B39" s="377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5" t="s">
        <v>2613</v>
      </c>
      <c r="B41" s="3770" t="s">
        <v>2637</v>
      </c>
      <c r="C41" s="3103" t="s">
        <v>2482</v>
      </c>
      <c r="D41" s="3104"/>
      <c r="E41" s="3105">
        <v>1</v>
      </c>
      <c r="F41" s="3106" t="s">
        <v>2483</v>
      </c>
      <c r="G41" s="3106"/>
    </row>
    <row r="42" spans="1:7" ht="19.5" customHeight="1">
      <c r="A42" s="3776"/>
      <c r="B42" s="3769"/>
      <c r="C42" s="3107" t="s">
        <v>2484</v>
      </c>
      <c r="D42" s="3108"/>
      <c r="E42" s="3109">
        <v>1</v>
      </c>
      <c r="F42" s="3106" t="s">
        <v>2485</v>
      </c>
      <c r="G42" s="3106"/>
    </row>
    <row r="43" spans="1:7" ht="19.5" customHeight="1">
      <c r="A43" s="3776"/>
      <c r="B43" s="3768"/>
      <c r="C43" s="3107" t="s">
        <v>2486</v>
      </c>
      <c r="D43" s="3108"/>
      <c r="E43" s="3109">
        <v>1.5</v>
      </c>
      <c r="F43" s="3106" t="s">
        <v>2487</v>
      </c>
      <c r="G43" s="3106"/>
    </row>
    <row r="44" spans="1:7" ht="19.5" customHeight="1">
      <c r="A44" s="3776"/>
      <c r="B44" s="3118" t="s">
        <v>2638</v>
      </c>
      <c r="C44" s="3107" t="s">
        <v>2639</v>
      </c>
      <c r="D44" s="3108"/>
      <c r="E44" s="3109">
        <v>2</v>
      </c>
      <c r="F44" s="3106" t="s">
        <v>2488</v>
      </c>
      <c r="G44" s="3106"/>
    </row>
    <row r="45" spans="1:7" ht="19.5" customHeight="1">
      <c r="A45" s="3776"/>
      <c r="B45" s="3767" t="s">
        <v>2640</v>
      </c>
      <c r="C45" s="3107" t="s">
        <v>2489</v>
      </c>
      <c r="D45" s="3108"/>
      <c r="E45" s="3109">
        <v>1</v>
      </c>
      <c r="F45" s="3106" t="s">
        <v>2490</v>
      </c>
      <c r="G45" s="3106"/>
    </row>
    <row r="46" spans="1:7" ht="19.5" customHeight="1">
      <c r="A46" s="3776"/>
      <c r="B46" s="3769"/>
      <c r="C46" s="3107" t="s">
        <v>2491</v>
      </c>
      <c r="D46" s="3108"/>
      <c r="E46" s="3109">
        <v>1</v>
      </c>
      <c r="F46" s="3106" t="s">
        <v>2492</v>
      </c>
      <c r="G46" s="3106"/>
    </row>
    <row r="47" spans="1:7" ht="19.5" customHeight="1">
      <c r="A47" s="3776"/>
      <c r="B47" s="3769"/>
      <c r="C47" s="3107" t="s">
        <v>2493</v>
      </c>
      <c r="D47" s="3108"/>
      <c r="E47" s="3109">
        <v>1</v>
      </c>
      <c r="F47" s="3106" t="s">
        <v>2494</v>
      </c>
      <c r="G47" s="3106"/>
    </row>
    <row r="48" spans="1:7" ht="19.5" customHeight="1">
      <c r="A48" s="3776"/>
      <c r="B48" s="3769"/>
      <c r="C48" s="3107" t="s">
        <v>2495</v>
      </c>
      <c r="D48" s="3108"/>
      <c r="E48" s="3109">
        <v>1</v>
      </c>
      <c r="F48" s="3106" t="s">
        <v>2496</v>
      </c>
      <c r="G48" s="3106"/>
    </row>
    <row r="49" spans="1:7" ht="19.5" customHeight="1">
      <c r="A49" s="3776"/>
      <c r="B49" s="3769"/>
      <c r="C49" s="3107" t="s">
        <v>2497</v>
      </c>
      <c r="D49" s="3108"/>
      <c r="E49" s="3109">
        <v>1</v>
      </c>
      <c r="F49" s="3106" t="s">
        <v>2498</v>
      </c>
      <c r="G49" s="3106"/>
    </row>
    <row r="50" spans="1:7" ht="19.5" customHeight="1">
      <c r="A50" s="3776"/>
      <c r="B50" s="3769"/>
      <c r="C50" s="3107" t="s">
        <v>2499</v>
      </c>
      <c r="D50" s="3108"/>
      <c r="E50" s="3109">
        <v>1</v>
      </c>
      <c r="F50" s="3106" t="s">
        <v>2500</v>
      </c>
      <c r="G50" s="3106"/>
    </row>
    <row r="51" spans="1:7" ht="19.5" customHeight="1" thickBot="1">
      <c r="A51" s="3777"/>
      <c r="B51" s="377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7" t="s">
        <v>2654</v>
      </c>
      <c r="C73" s="3092" t="s">
        <v>2655</v>
      </c>
      <c r="D73" s="3092" t="s">
        <v>2656</v>
      </c>
      <c r="E73" s="3118">
        <v>0.2</v>
      </c>
      <c r="F73" s="3118">
        <v>25</v>
      </c>
    </row>
    <row r="74" spans="1:7" ht="24">
      <c r="A74" s="3118">
        <v>2</v>
      </c>
      <c r="B74" s="3769"/>
      <c r="C74" s="3092" t="s">
        <v>2657</v>
      </c>
      <c r="D74" s="3092" t="s">
        <v>2658</v>
      </c>
      <c r="E74" s="3118">
        <v>0.2</v>
      </c>
      <c r="F74" s="3118">
        <v>25</v>
      </c>
    </row>
    <row r="75" spans="1:7" ht="24">
      <c r="A75" s="3118">
        <v>3</v>
      </c>
      <c r="B75" s="3769"/>
      <c r="C75" s="3092" t="s">
        <v>2659</v>
      </c>
      <c r="D75" s="3092" t="s">
        <v>2660</v>
      </c>
      <c r="E75" s="3118">
        <v>0.2</v>
      </c>
      <c r="F75" s="3118">
        <v>25</v>
      </c>
    </row>
    <row r="76" spans="1:7" ht="13.5">
      <c r="A76" s="3118">
        <v>4</v>
      </c>
      <c r="B76" s="3769"/>
      <c r="C76" s="3092" t="s">
        <v>2661</v>
      </c>
      <c r="D76" s="3092" t="s">
        <v>2662</v>
      </c>
      <c r="E76" s="3118">
        <v>0.15</v>
      </c>
      <c r="F76" s="3118">
        <v>20</v>
      </c>
    </row>
    <row r="77" spans="1:7" ht="24">
      <c r="A77" s="3118">
        <v>5</v>
      </c>
      <c r="B77" s="3769"/>
      <c r="C77" s="3092" t="s">
        <v>2663</v>
      </c>
      <c r="D77" s="3092" t="s">
        <v>2664</v>
      </c>
      <c r="E77" s="3118">
        <v>0.15</v>
      </c>
      <c r="F77" s="3118">
        <v>20</v>
      </c>
    </row>
    <row r="78" spans="1:7" ht="24">
      <c r="A78" s="3118">
        <v>6</v>
      </c>
      <c r="B78" s="3769"/>
      <c r="C78" s="3092" t="s">
        <v>2665</v>
      </c>
      <c r="D78" s="3092" t="s">
        <v>2666</v>
      </c>
      <c r="E78" s="3118">
        <v>0.15</v>
      </c>
      <c r="F78" s="3118">
        <v>20</v>
      </c>
    </row>
    <row r="79" spans="1:7" ht="24">
      <c r="A79" s="3118">
        <v>7</v>
      </c>
      <c r="B79" s="3769"/>
      <c r="C79" s="3092" t="s">
        <v>2667</v>
      </c>
      <c r="D79" s="3092" t="s">
        <v>2668</v>
      </c>
      <c r="E79" s="3118">
        <v>0.15</v>
      </c>
      <c r="F79" s="3118">
        <v>20</v>
      </c>
    </row>
    <row r="80" spans="1:7" ht="24">
      <c r="A80" s="3118">
        <v>8</v>
      </c>
      <c r="B80" s="3769"/>
      <c r="C80" s="3092" t="s">
        <v>2669</v>
      </c>
      <c r="D80" s="3092" t="s">
        <v>2670</v>
      </c>
      <c r="E80" s="3118">
        <v>0.1</v>
      </c>
      <c r="F80" s="3118">
        <v>15</v>
      </c>
    </row>
    <row r="81" spans="1:6" ht="24">
      <c r="A81" s="3118">
        <v>9</v>
      </c>
      <c r="B81" s="3769"/>
      <c r="C81" s="3092" t="s">
        <v>2671</v>
      </c>
      <c r="D81" s="3092" t="s">
        <v>2672</v>
      </c>
      <c r="E81" s="3118">
        <v>0.1</v>
      </c>
      <c r="F81" s="3118">
        <v>15</v>
      </c>
    </row>
    <row r="82" spans="1:6" ht="24">
      <c r="A82" s="3118">
        <v>10</v>
      </c>
      <c r="B82" s="3769"/>
      <c r="C82" s="3092" t="s">
        <v>2673</v>
      </c>
      <c r="D82" s="3092" t="s">
        <v>2674</v>
      </c>
      <c r="E82" s="3118">
        <v>0.1</v>
      </c>
      <c r="F82" s="3118">
        <v>15</v>
      </c>
    </row>
    <row r="83" spans="1:6" ht="24">
      <c r="A83" s="3118">
        <v>11</v>
      </c>
      <c r="B83" s="3769"/>
      <c r="C83" s="3092" t="s">
        <v>2675</v>
      </c>
      <c r="D83" s="3092" t="s">
        <v>2676</v>
      </c>
      <c r="E83" s="3118">
        <v>0.1</v>
      </c>
      <c r="F83" s="3118">
        <v>15</v>
      </c>
    </row>
    <row r="84" spans="1:6" ht="24">
      <c r="A84" s="3118">
        <v>12</v>
      </c>
      <c r="B84" s="3769"/>
      <c r="C84" s="3092" t="s">
        <v>2677</v>
      </c>
      <c r="D84" s="3092" t="s">
        <v>2678</v>
      </c>
      <c r="E84" s="3118">
        <v>0.1</v>
      </c>
      <c r="F84" s="3118">
        <v>15</v>
      </c>
    </row>
    <row r="85" spans="1:6" ht="13.5">
      <c r="A85" s="3118">
        <v>13</v>
      </c>
      <c r="B85" s="3769"/>
      <c r="C85" s="3092" t="s">
        <v>2679</v>
      </c>
      <c r="D85" s="3092" t="s">
        <v>2680</v>
      </c>
      <c r="E85" s="3118">
        <v>0.1</v>
      </c>
      <c r="F85" s="3118">
        <v>15</v>
      </c>
    </row>
    <row r="86" spans="1:6" ht="13.5">
      <c r="A86" s="3118">
        <v>14</v>
      </c>
      <c r="B86" s="3769"/>
      <c r="C86" s="3092" t="s">
        <v>2681</v>
      </c>
      <c r="D86" s="3092" t="s">
        <v>2682</v>
      </c>
      <c r="E86" s="3118">
        <v>0.1</v>
      </c>
      <c r="F86" s="3118">
        <v>15</v>
      </c>
    </row>
    <row r="87" spans="1:6" ht="13.5">
      <c r="A87" s="3118">
        <v>15</v>
      </c>
      <c r="B87" s="3769"/>
      <c r="C87" s="3092" t="s">
        <v>2683</v>
      </c>
      <c r="D87" s="3092" t="s">
        <v>2684</v>
      </c>
      <c r="E87" s="3118">
        <v>0.1</v>
      </c>
      <c r="F87" s="3118">
        <v>15</v>
      </c>
    </row>
    <row r="88" spans="1:6" ht="24">
      <c r="A88" s="3118">
        <v>16</v>
      </c>
      <c r="B88" s="3769"/>
      <c r="C88" s="3092" t="s">
        <v>2685</v>
      </c>
      <c r="D88" s="3092" t="s">
        <v>2686</v>
      </c>
      <c r="E88" s="3118">
        <v>0.1</v>
      </c>
      <c r="F88" s="3118">
        <v>15</v>
      </c>
    </row>
    <row r="89" spans="1:6" ht="24">
      <c r="A89" s="3118">
        <v>17</v>
      </c>
      <c r="B89" s="3768"/>
      <c r="C89" s="3092" t="s">
        <v>2687</v>
      </c>
      <c r="D89" s="3092" t="s">
        <v>2688</v>
      </c>
      <c r="E89" s="3118">
        <v>0.1</v>
      </c>
      <c r="F89" s="3118">
        <v>15</v>
      </c>
    </row>
    <row r="90" spans="1:6" ht="13.5">
      <c r="A90" s="3118">
        <v>18</v>
      </c>
      <c r="B90" s="3767" t="s">
        <v>2689</v>
      </c>
      <c r="C90" s="3092" t="s">
        <v>2690</v>
      </c>
      <c r="D90" s="3092" t="s">
        <v>2691</v>
      </c>
      <c r="E90" s="3118">
        <v>0.2</v>
      </c>
      <c r="F90" s="3118">
        <v>25</v>
      </c>
    </row>
    <row r="91" spans="1:6" ht="24">
      <c r="A91" s="3118">
        <v>19</v>
      </c>
      <c r="B91" s="3769"/>
      <c r="C91" s="3092" t="s">
        <v>2692</v>
      </c>
      <c r="D91" s="3092" t="s">
        <v>2693</v>
      </c>
      <c r="E91" s="3118">
        <v>0.2</v>
      </c>
      <c r="F91" s="3118">
        <v>25</v>
      </c>
    </row>
    <row r="92" spans="1:6" ht="13.5">
      <c r="A92" s="3118">
        <v>20</v>
      </c>
      <c r="B92" s="3769"/>
      <c r="C92" s="3092" t="s">
        <v>2694</v>
      </c>
      <c r="D92" s="3092" t="s">
        <v>2695</v>
      </c>
      <c r="E92" s="3118">
        <v>0.15</v>
      </c>
      <c r="F92" s="3118">
        <v>20</v>
      </c>
    </row>
    <row r="93" spans="1:6" ht="13.5">
      <c r="A93" s="3118">
        <v>21</v>
      </c>
      <c r="B93" s="3769"/>
      <c r="C93" s="3092" t="s">
        <v>2696</v>
      </c>
      <c r="D93" s="3092" t="s">
        <v>2697</v>
      </c>
      <c r="E93" s="3118">
        <v>0.15</v>
      </c>
      <c r="F93" s="3118">
        <v>20</v>
      </c>
    </row>
    <row r="94" spans="1:6" ht="13.5">
      <c r="A94" s="3118">
        <v>22</v>
      </c>
      <c r="B94" s="3769"/>
      <c r="C94" s="3092" t="s">
        <v>2698</v>
      </c>
      <c r="D94" s="3092" t="s">
        <v>2699</v>
      </c>
      <c r="E94" s="3118">
        <v>0.15</v>
      </c>
      <c r="F94" s="3118">
        <v>20</v>
      </c>
    </row>
    <row r="95" spans="1:6" ht="36">
      <c r="A95" s="3118">
        <v>23</v>
      </c>
      <c r="B95" s="3769"/>
      <c r="C95" s="3092" t="s">
        <v>2700</v>
      </c>
      <c r="D95" s="3092" t="s">
        <v>2701</v>
      </c>
      <c r="E95" s="3118">
        <v>0.15</v>
      </c>
      <c r="F95" s="3118">
        <v>20</v>
      </c>
    </row>
    <row r="96" spans="1:6" ht="13.5">
      <c r="A96" s="3118">
        <v>24</v>
      </c>
      <c r="B96" s="3769"/>
      <c r="C96" s="3092" t="s">
        <v>2702</v>
      </c>
      <c r="D96" s="3092" t="s">
        <v>2703</v>
      </c>
      <c r="E96" s="3118">
        <v>0.1</v>
      </c>
      <c r="F96" s="3118">
        <v>15</v>
      </c>
    </row>
    <row r="97" spans="1:6" ht="13.5">
      <c r="A97" s="3118">
        <v>25</v>
      </c>
      <c r="B97" s="3769"/>
      <c r="C97" s="3092" t="s">
        <v>2704</v>
      </c>
      <c r="D97" s="3092" t="s">
        <v>2705</v>
      </c>
      <c r="E97" s="3118">
        <v>0.1</v>
      </c>
      <c r="F97" s="3118">
        <v>15</v>
      </c>
    </row>
    <row r="98" spans="1:6" ht="24">
      <c r="A98" s="3118">
        <v>26</v>
      </c>
      <c r="B98" s="3769"/>
      <c r="C98" s="3092" t="s">
        <v>2706</v>
      </c>
      <c r="D98" s="3092" t="s">
        <v>2707</v>
      </c>
      <c r="E98" s="3118">
        <v>0.1</v>
      </c>
      <c r="F98" s="3118">
        <v>15</v>
      </c>
    </row>
    <row r="99" spans="1:6" ht="24">
      <c r="A99" s="3118">
        <v>27</v>
      </c>
      <c r="B99" s="3769"/>
      <c r="C99" s="3092" t="s">
        <v>2708</v>
      </c>
      <c r="D99" s="3092" t="s">
        <v>2709</v>
      </c>
      <c r="E99" s="3118">
        <v>0.1</v>
      </c>
      <c r="F99" s="3118">
        <v>15</v>
      </c>
    </row>
    <row r="100" spans="1:6" ht="13.5">
      <c r="A100" s="3118">
        <v>28</v>
      </c>
      <c r="B100" s="3769"/>
      <c r="C100" s="3092" t="s">
        <v>2710</v>
      </c>
      <c r="D100" s="3092" t="s">
        <v>2711</v>
      </c>
      <c r="E100" s="3118">
        <v>0.1</v>
      </c>
      <c r="F100" s="3118">
        <v>15</v>
      </c>
    </row>
    <row r="101" spans="1:6" ht="13.5">
      <c r="A101" s="3118">
        <v>29</v>
      </c>
      <c r="B101" s="3769"/>
      <c r="C101" s="3092" t="s">
        <v>2712</v>
      </c>
      <c r="D101" s="3092" t="s">
        <v>2713</v>
      </c>
      <c r="E101" s="3118">
        <v>0.1</v>
      </c>
      <c r="F101" s="3118">
        <v>15</v>
      </c>
    </row>
    <row r="102" spans="1:6" ht="13.5">
      <c r="A102" s="3118">
        <v>30</v>
      </c>
      <c r="B102" s="3769"/>
      <c r="C102" s="3092" t="s">
        <v>2714</v>
      </c>
      <c r="D102" s="3092" t="s">
        <v>2715</v>
      </c>
      <c r="E102" s="3118">
        <v>0.1</v>
      </c>
      <c r="F102" s="3118">
        <v>15</v>
      </c>
    </row>
    <row r="103" spans="1:6" ht="24">
      <c r="A103" s="3118">
        <v>31</v>
      </c>
      <c r="B103" s="3769"/>
      <c r="C103" s="3092" t="s">
        <v>2716</v>
      </c>
      <c r="D103" s="3092" t="s">
        <v>2717</v>
      </c>
      <c r="E103" s="3118">
        <v>0.1</v>
      </c>
      <c r="F103" s="3118">
        <v>15</v>
      </c>
    </row>
    <row r="104" spans="1:6" ht="24">
      <c r="A104" s="3118">
        <v>32</v>
      </c>
      <c r="B104" s="3769"/>
      <c r="C104" s="3092" t="s">
        <v>2718</v>
      </c>
      <c r="D104" s="3092" t="s">
        <v>2719</v>
      </c>
      <c r="E104" s="3118">
        <v>0.1</v>
      </c>
      <c r="F104" s="3118">
        <v>15</v>
      </c>
    </row>
    <row r="105" spans="1:6" ht="24">
      <c r="A105" s="3118">
        <v>33</v>
      </c>
      <c r="B105" s="3769"/>
      <c r="C105" s="3092" t="s">
        <v>2720</v>
      </c>
      <c r="D105" s="3092" t="s">
        <v>2721</v>
      </c>
      <c r="E105" s="3118">
        <v>0.1</v>
      </c>
      <c r="F105" s="3118">
        <v>15</v>
      </c>
    </row>
    <row r="106" spans="1:6" ht="24">
      <c r="A106" s="3118">
        <v>34</v>
      </c>
      <c r="B106" s="3768"/>
      <c r="C106" s="3092" t="s">
        <v>2722</v>
      </c>
      <c r="D106" s="3092" t="s">
        <v>2723</v>
      </c>
      <c r="E106" s="3118">
        <v>0.1</v>
      </c>
      <c r="F106" s="3118">
        <v>15</v>
      </c>
    </row>
    <row r="107" spans="1:6" ht="24">
      <c r="A107" s="3118">
        <v>35</v>
      </c>
      <c r="B107" s="3767" t="s">
        <v>2724</v>
      </c>
      <c r="C107" s="3118" t="s">
        <v>2725</v>
      </c>
      <c r="D107" s="3092" t="s">
        <v>2726</v>
      </c>
      <c r="E107" s="3118">
        <v>0.15</v>
      </c>
      <c r="F107" s="3118">
        <v>20</v>
      </c>
    </row>
    <row r="108" spans="1:6" ht="13.5">
      <c r="A108" s="3118">
        <v>36</v>
      </c>
      <c r="B108" s="3769"/>
      <c r="C108" s="3118" t="s">
        <v>2727</v>
      </c>
      <c r="D108" s="3092" t="s">
        <v>2728</v>
      </c>
      <c r="E108" s="3118">
        <v>0.15</v>
      </c>
      <c r="F108" s="3118">
        <v>20</v>
      </c>
    </row>
    <row r="109" spans="1:6" ht="13.5">
      <c r="A109" s="3118">
        <v>37</v>
      </c>
      <c r="B109" s="3769"/>
      <c r="C109" s="3118" t="s">
        <v>2729</v>
      </c>
      <c r="D109" s="3092" t="s">
        <v>2730</v>
      </c>
      <c r="E109" s="3118">
        <v>0.15</v>
      </c>
      <c r="F109" s="3118">
        <v>20</v>
      </c>
    </row>
    <row r="110" spans="1:6" ht="13.5">
      <c r="A110" s="3118">
        <v>38</v>
      </c>
      <c r="B110" s="3769"/>
      <c r="C110" s="3118" t="s">
        <v>2731</v>
      </c>
      <c r="D110" s="3092" t="s">
        <v>2732</v>
      </c>
      <c r="E110" s="3118">
        <v>0.1</v>
      </c>
      <c r="F110" s="3118">
        <v>15</v>
      </c>
    </row>
    <row r="111" spans="1:6" ht="24">
      <c r="A111" s="3118">
        <v>39</v>
      </c>
      <c r="B111" s="3769"/>
      <c r="C111" s="3118" t="s">
        <v>2733</v>
      </c>
      <c r="D111" s="3092" t="s">
        <v>2734</v>
      </c>
      <c r="E111" s="3118">
        <v>0.1</v>
      </c>
      <c r="F111" s="3118">
        <v>15</v>
      </c>
    </row>
    <row r="112" spans="1:6" ht="24">
      <c r="A112" s="3118">
        <v>40</v>
      </c>
      <c r="B112" s="3768"/>
      <c r="C112" s="3118" t="s">
        <v>2735</v>
      </c>
      <c r="D112" s="3092" t="s">
        <v>2736</v>
      </c>
      <c r="E112" s="3118">
        <v>0.1</v>
      </c>
      <c r="F112" s="3118">
        <v>15</v>
      </c>
    </row>
    <row r="113" spans="1:6" ht="13.5">
      <c r="A113" s="3118">
        <v>41</v>
      </c>
      <c r="B113" s="3766" t="s">
        <v>2737</v>
      </c>
      <c r="C113" s="3118" t="s">
        <v>2738</v>
      </c>
      <c r="D113" s="3092" t="s">
        <v>2739</v>
      </c>
      <c r="E113" s="3118">
        <v>0.1</v>
      </c>
      <c r="F113" s="3118">
        <v>15</v>
      </c>
    </row>
    <row r="114" spans="1:6" ht="13.5">
      <c r="A114" s="3118">
        <v>42</v>
      </c>
      <c r="B114" s="3766"/>
      <c r="C114" s="3118" t="s">
        <v>2740</v>
      </c>
      <c r="D114" s="3092" t="s">
        <v>2741</v>
      </c>
      <c r="E114" s="3118">
        <v>0.1</v>
      </c>
      <c r="F114" s="3118">
        <v>15</v>
      </c>
    </row>
    <row r="115" spans="1:6" ht="24">
      <c r="A115" s="3118">
        <v>43</v>
      </c>
      <c r="B115" s="3766"/>
      <c r="C115" s="3118" t="s">
        <v>2742</v>
      </c>
      <c r="D115" s="3092" t="s">
        <v>2743</v>
      </c>
      <c r="E115" s="3118">
        <v>0.1</v>
      </c>
      <c r="F115" s="3118">
        <v>15</v>
      </c>
    </row>
    <row r="116" spans="1:6" ht="13.5">
      <c r="A116" s="3118">
        <v>44</v>
      </c>
      <c r="B116" s="3767" t="s">
        <v>2744</v>
      </c>
      <c r="C116" s="3118" t="s">
        <v>2745</v>
      </c>
      <c r="D116" s="3092" t="s">
        <v>2746</v>
      </c>
      <c r="E116" s="3118">
        <v>0.1</v>
      </c>
      <c r="F116" s="3118">
        <v>15</v>
      </c>
    </row>
    <row r="117" spans="1:6" ht="24">
      <c r="A117" s="3118">
        <v>45</v>
      </c>
      <c r="B117" s="3768"/>
      <c r="C117" s="3092" t="s">
        <v>2747</v>
      </c>
      <c r="D117" s="3092" t="s">
        <v>2748</v>
      </c>
      <c r="E117" s="3118">
        <v>0.1</v>
      </c>
      <c r="F117" s="3118">
        <v>15</v>
      </c>
    </row>
    <row r="118" spans="1:6" ht="24">
      <c r="A118" s="3118">
        <v>46</v>
      </c>
      <c r="B118" s="3767" t="s">
        <v>2749</v>
      </c>
      <c r="C118" s="3118" t="s">
        <v>2750</v>
      </c>
      <c r="D118" s="3092" t="s">
        <v>2751</v>
      </c>
      <c r="E118" s="3118">
        <v>0.1</v>
      </c>
      <c r="F118" s="3118">
        <v>15</v>
      </c>
    </row>
    <row r="119" spans="1:6" ht="24">
      <c r="A119" s="3118">
        <v>47</v>
      </c>
      <c r="B119" s="3768"/>
      <c r="C119" s="3118" t="s">
        <v>2752</v>
      </c>
      <c r="D119" s="3092" t="s">
        <v>2753</v>
      </c>
      <c r="E119" s="3118">
        <v>0.1</v>
      </c>
      <c r="F119" s="3118">
        <v>15</v>
      </c>
    </row>
    <row r="120" spans="1:6" ht="13.5">
      <c r="A120" s="3118">
        <v>48</v>
      </c>
      <c r="B120" s="3767" t="s">
        <v>2754</v>
      </c>
      <c r="C120" s="3118" t="s">
        <v>2755</v>
      </c>
      <c r="D120" s="3092" t="s">
        <v>2756</v>
      </c>
      <c r="E120" s="3118">
        <v>0.1</v>
      </c>
      <c r="F120" s="3118">
        <v>15</v>
      </c>
    </row>
    <row r="121" spans="1:6" ht="13.5">
      <c r="A121" s="3118">
        <v>49</v>
      </c>
      <c r="B121" s="3768"/>
      <c r="C121" s="3118" t="s">
        <v>2757</v>
      </c>
      <c r="D121" s="3092" t="s">
        <v>2758</v>
      </c>
      <c r="E121" s="3118">
        <v>0.1</v>
      </c>
      <c r="F121" s="3118">
        <v>15</v>
      </c>
    </row>
    <row r="122" spans="1:6" ht="24">
      <c r="A122" s="3118">
        <v>50</v>
      </c>
      <c r="B122" s="3766" t="s">
        <v>2759</v>
      </c>
      <c r="C122" s="3118" t="s">
        <v>2760</v>
      </c>
      <c r="D122" s="3092" t="s">
        <v>2761</v>
      </c>
      <c r="E122" s="3118">
        <v>0.1</v>
      </c>
      <c r="F122" s="3118">
        <v>15</v>
      </c>
    </row>
    <row r="123" spans="1:6" ht="24">
      <c r="A123" s="3118">
        <v>51</v>
      </c>
      <c r="B123" s="3766"/>
      <c r="C123" s="3118" t="s">
        <v>2762</v>
      </c>
      <c r="D123" s="3092" t="s">
        <v>2763</v>
      </c>
      <c r="E123" s="3118">
        <v>0.1</v>
      </c>
      <c r="F123" s="3118">
        <v>15</v>
      </c>
    </row>
    <row r="124" spans="1:6" ht="24">
      <c r="A124" s="3118">
        <v>52</v>
      </c>
      <c r="B124" s="3766" t="s">
        <v>2764</v>
      </c>
      <c r="C124" s="3118" t="s">
        <v>2765</v>
      </c>
      <c r="D124" s="3092" t="s">
        <v>2766</v>
      </c>
      <c r="E124" s="3118">
        <v>0.1</v>
      </c>
      <c r="F124" s="3118">
        <v>15</v>
      </c>
    </row>
    <row r="125" spans="1:6" ht="24">
      <c r="A125" s="3118">
        <v>53</v>
      </c>
      <c r="B125" s="376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6" t="s">
        <v>2772</v>
      </c>
      <c r="C127" s="3118" t="s">
        <v>2773</v>
      </c>
      <c r="D127" s="3092" t="s">
        <v>2774</v>
      </c>
      <c r="E127" s="3118">
        <v>0.1</v>
      </c>
      <c r="F127" s="3118">
        <v>15</v>
      </c>
    </row>
    <row r="128" spans="1:6" ht="13.5">
      <c r="A128" s="3118">
        <v>56</v>
      </c>
      <c r="B128" s="3766"/>
      <c r="C128" s="3118" t="s">
        <v>2775</v>
      </c>
      <c r="D128" s="3092" t="s">
        <v>2776</v>
      </c>
      <c r="E128" s="3118">
        <v>0.1</v>
      </c>
      <c r="F128" s="3118">
        <v>15</v>
      </c>
    </row>
    <row r="129" spans="1:6" ht="24">
      <c r="A129" s="3118">
        <v>57</v>
      </c>
      <c r="B129" s="3766"/>
      <c r="C129" s="3118" t="s">
        <v>2777</v>
      </c>
      <c r="D129" s="3092" t="s">
        <v>2778</v>
      </c>
      <c r="E129" s="3118">
        <v>0.1</v>
      </c>
      <c r="F129" s="3118">
        <v>15</v>
      </c>
    </row>
    <row r="130" spans="1:6" ht="24">
      <c r="A130" s="3118">
        <v>58</v>
      </c>
      <c r="B130" s="3766" t="s">
        <v>2779</v>
      </c>
      <c r="C130" s="3118" t="s">
        <v>2780</v>
      </c>
      <c r="D130" s="3092" t="s">
        <v>2781</v>
      </c>
      <c r="E130" s="3118">
        <v>0.1</v>
      </c>
      <c r="F130" s="3118">
        <v>15</v>
      </c>
    </row>
    <row r="131" spans="1:6" ht="13.5">
      <c r="A131" s="3118">
        <v>59</v>
      </c>
      <c r="B131" s="3766"/>
      <c r="C131" s="3118" t="s">
        <v>2782</v>
      </c>
      <c r="D131" s="3092" t="s">
        <v>2783</v>
      </c>
      <c r="E131" s="3118">
        <v>0.1</v>
      </c>
      <c r="F131" s="3118">
        <v>15</v>
      </c>
    </row>
    <row r="132" spans="1:6" ht="13.5">
      <c r="A132" s="3118">
        <v>60</v>
      </c>
      <c r="B132" s="3767" t="s">
        <v>2784</v>
      </c>
      <c r="C132" s="3118" t="s">
        <v>2785</v>
      </c>
      <c r="D132" s="3092" t="s">
        <v>2786</v>
      </c>
      <c r="E132" s="3118">
        <v>0.1</v>
      </c>
      <c r="F132" s="3118">
        <v>15</v>
      </c>
    </row>
    <row r="133" spans="1:6" ht="13.5">
      <c r="A133" s="3118">
        <v>61</v>
      </c>
      <c r="B133" s="376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6" t="s">
        <v>2792</v>
      </c>
      <c r="C135" s="3118" t="s">
        <v>2793</v>
      </c>
      <c r="D135" s="3092" t="s">
        <v>2794</v>
      </c>
      <c r="E135" s="3118">
        <v>0.1</v>
      </c>
      <c r="F135" s="3118">
        <v>15</v>
      </c>
    </row>
    <row r="136" spans="1:6" ht="13.5">
      <c r="A136" s="3118">
        <v>64</v>
      </c>
      <c r="B136" s="376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1.0082</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0.95489999999999997</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62497</v>
      </c>
      <c r="C2" s="2" t="s">
        <v>106</v>
      </c>
      <c r="D2" s="199"/>
      <c r="E2" s="199"/>
      <c r="F2" s="199"/>
      <c r="G2" s="199"/>
    </row>
    <row r="3" spans="1:7" s="200" customFormat="1" ht="18" customHeight="1" thickBot="1">
      <c r="A3" s="203" t="s">
        <v>58</v>
      </c>
      <c r="B3" s="204">
        <f ca="1">ROUND(B2*10000/'数据-汇总表'!E3,0)</f>
        <v>9083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1376</v>
      </c>
      <c r="D10" s="845">
        <f>'数据-汇总表'!E6</f>
        <v>68805.62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1376</v>
      </c>
      <c r="D19" s="849">
        <f>'数据-汇总表'!E3</f>
        <v>68805.62</v>
      </c>
      <c r="E19" s="211">
        <f>'数据-取费表'!B31</f>
        <v>200</v>
      </c>
      <c r="F19" s="231"/>
      <c r="G19" s="1" t="s">
        <v>436</v>
      </c>
    </row>
    <row r="20" spans="1:7" s="214" customFormat="1" ht="13.5" customHeight="1">
      <c r="A20" s="777" t="s">
        <v>419</v>
      </c>
      <c r="B20" s="210" t="s">
        <v>77</v>
      </c>
      <c r="C20" s="232">
        <f>ROUND((C5+C19)*F20,0)</f>
        <v>440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1881</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117</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3812</v>
      </c>
      <c r="D27" s="235">
        <f>C29</f>
        <v>3.3999999999999998E-3</v>
      </c>
      <c r="E27" s="236" t="s">
        <v>99</v>
      </c>
      <c r="F27" s="246">
        <f>'数据-取费表'!Q16</f>
        <v>0.17</v>
      </c>
      <c r="G27" s="247" t="s">
        <v>431</v>
      </c>
    </row>
    <row r="28" spans="1:7" s="214" customFormat="1" ht="13.5" customHeight="1">
      <c r="A28" s="780" t="s">
        <v>349</v>
      </c>
      <c r="B28" s="248" t="s">
        <v>424</v>
      </c>
      <c r="C28" s="249">
        <f>ROUND((C5+C19+C20)*F27*'数据-取费表'!B21/'数据-取费表'!B20,0)</f>
        <v>3812</v>
      </c>
      <c r="D28" s="235"/>
      <c r="E28" s="236"/>
      <c r="F28" s="246"/>
      <c r="G28" s="247"/>
    </row>
    <row r="29" spans="1:7" s="214" customFormat="1" ht="13.5" customHeight="1">
      <c r="A29" s="780" t="s">
        <v>347</v>
      </c>
      <c r="B29" s="248" t="s">
        <v>425</v>
      </c>
      <c r="C29" s="238">
        <f>ROUND(C21*F27*'数据-取费表'!B21/'数据-取费表'!B20,4)</f>
        <v>3.3999999999999998E-3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30482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30137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27522</v>
      </c>
      <c r="D34" s="217"/>
      <c r="E34" s="220"/>
      <c r="F34" s="257">
        <f>IF('数据-取费表'!B24=0,1,'数据-取费表'!N16)</f>
        <v>1</v>
      </c>
      <c r="G34" s="219" t="s">
        <v>89</v>
      </c>
    </row>
    <row r="35" spans="1:7" ht="13.5" customHeight="1">
      <c r="A35" s="780" t="s">
        <v>351</v>
      </c>
      <c r="B35" s="215" t="s">
        <v>33</v>
      </c>
      <c r="C35" s="220">
        <f>ROUND(C34*F35,0)</f>
        <v>826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1376</v>
      </c>
      <c r="D37" s="217">
        <f>'数据-汇总表'!E3</f>
        <v>68805.62</v>
      </c>
      <c r="E37" s="249">
        <f>'数据-取费表'!B35</f>
        <v>200</v>
      </c>
      <c r="F37" s="259"/>
      <c r="G37" s="261" t="s">
        <v>92</v>
      </c>
    </row>
    <row r="38" spans="1:7" ht="13.5" customHeight="1">
      <c r="A38" s="780" t="s">
        <v>354</v>
      </c>
      <c r="B38" s="215" t="s">
        <v>36</v>
      </c>
      <c r="C38" s="220">
        <f>ROUND(C34*F38,0)</f>
        <v>413</v>
      </c>
      <c r="D38" s="220"/>
      <c r="E38" s="220"/>
      <c r="F38" s="259">
        <f>'数据-取费表'!B36</f>
        <v>1.4999999999999999E-2</v>
      </c>
      <c r="G38" s="219" t="s">
        <v>90</v>
      </c>
    </row>
    <row r="39" spans="1:7" s="214" customFormat="1" ht="13.5" customHeight="1">
      <c r="A39" s="777" t="s">
        <v>338</v>
      </c>
      <c r="B39" s="210" t="s">
        <v>77</v>
      </c>
      <c r="C39" s="232">
        <f>ROUND(C33*F20,0)</f>
        <v>603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1276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1251</v>
      </c>
      <c r="D42" s="238"/>
      <c r="E42" s="238"/>
      <c r="F42" s="239"/>
      <c r="G42" s="3644" t="s">
        <v>94</v>
      </c>
    </row>
    <row r="43" spans="1:7" ht="13.5" customHeight="1">
      <c r="A43" s="780" t="s">
        <v>347</v>
      </c>
      <c r="B43" s="215" t="s">
        <v>426</v>
      </c>
      <c r="C43" s="238">
        <f ca="1">ROUND(IF('数据-取费表'!B22&lt;=1,C39*F22*'数据-取费表'!B21/2,C39*(POWER((1+F22),'数据-取费表'!B21/2)-1)),0)</f>
        <v>25</v>
      </c>
      <c r="D43" s="238"/>
      <c r="E43" s="238"/>
      <c r="F43" s="239"/>
      <c r="G43" s="3645"/>
    </row>
    <row r="44" spans="1:7" ht="13.5" customHeight="1">
      <c r="A44" s="780" t="s">
        <v>348</v>
      </c>
      <c r="B44" s="215" t="s">
        <v>428</v>
      </c>
      <c r="C44" s="238">
        <f ca="1">ROUND(IF('数据-取费表'!B22&lt;=1,C40*F22*'数据-取费表'!B21/2,C40*(POWER((1+F22),'数据-取费表'!B21/2)-1)),4)</f>
        <v>8.0000000000000004E-4</v>
      </c>
      <c r="D44" s="238"/>
      <c r="E44" s="238"/>
      <c r="F44" s="239"/>
      <c r="G44" s="3646"/>
    </row>
    <row r="45" spans="1:7" s="214" customFormat="1" ht="13.5" customHeight="1">
      <c r="A45" s="777" t="s">
        <v>341</v>
      </c>
      <c r="B45" s="244" t="s">
        <v>85</v>
      </c>
      <c r="C45" s="245">
        <f>C46</f>
        <v>5226</v>
      </c>
      <c r="D45" s="235">
        <f>C47</f>
        <v>3.3999999999999998E-3</v>
      </c>
      <c r="E45" s="236" t="s">
        <v>102</v>
      </c>
      <c r="F45" s="246"/>
      <c r="G45" s="247" t="s">
        <v>434</v>
      </c>
    </row>
    <row r="46" spans="1:7" s="214" customFormat="1" ht="13.5" customHeight="1">
      <c r="A46" s="780" t="s">
        <v>349</v>
      </c>
      <c r="B46" s="248" t="s">
        <v>427</v>
      </c>
      <c r="C46" s="249">
        <f>ROUND((C33+C39)*F27,0)</f>
        <v>5226</v>
      </c>
      <c r="D46" s="263"/>
      <c r="E46" s="236"/>
      <c r="F46" s="246"/>
      <c r="G46" s="247"/>
    </row>
    <row r="47" spans="1:7" s="214" customFormat="1" ht="13.5" customHeight="1">
      <c r="A47" s="780" t="s">
        <v>347</v>
      </c>
      <c r="B47" s="248" t="s">
        <v>429</v>
      </c>
      <c r="C47" s="238">
        <f>ROUND(C40*F27,4)</f>
        <v>3.3999999999999998E-3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40372</v>
      </c>
      <c r="D49" s="232"/>
      <c r="E49" s="232"/>
      <c r="F49" s="264"/>
      <c r="G49" s="234" t="s">
        <v>435</v>
      </c>
    </row>
    <row r="50" spans="1:7" s="258" customFormat="1" ht="24">
      <c r="A50" s="777" t="s">
        <v>344</v>
      </c>
      <c r="B50" s="210" t="s">
        <v>97</v>
      </c>
      <c r="C50" s="232"/>
      <c r="D50" s="232"/>
      <c r="E50" s="232"/>
      <c r="F50" s="264">
        <f>IF('数据-取费表'!B24=0,'数据-取费表'!N16,1)</f>
        <v>0.79300000000000004</v>
      </c>
      <c r="G50" s="247" t="s">
        <v>98</v>
      </c>
    </row>
    <row r="51" spans="1:7" ht="16.5" customHeight="1">
      <c r="A51" s="777" t="s">
        <v>345</v>
      </c>
      <c r="B51" s="210" t="s">
        <v>105</v>
      </c>
      <c r="C51" s="232">
        <f ca="1">ROUND(C49*F50,0)</f>
        <v>32015</v>
      </c>
      <c r="D51" s="232"/>
      <c r="E51" s="232"/>
      <c r="F51" s="264"/>
      <c r="G51" s="234" t="s">
        <v>37</v>
      </c>
    </row>
    <row r="52" spans="1:7" s="208" customFormat="1" ht="16.5" thickBot="1">
      <c r="A52" s="265" t="s">
        <v>38</v>
      </c>
      <c r="B52" s="266"/>
      <c r="C52" s="267">
        <f ca="1">C31+C51</f>
        <v>62497</v>
      </c>
      <c r="D52" s="266"/>
      <c r="E52" s="266"/>
      <c r="F52" s="266"/>
      <c r="G52" s="268"/>
    </row>
    <row r="55" spans="1:7" ht="15">
      <c r="B55" s="270" t="s">
        <v>39</v>
      </c>
      <c r="C55" s="271"/>
    </row>
    <row r="56" spans="1:7">
      <c r="B56" s="273" t="s">
        <v>40</v>
      </c>
      <c r="C56" s="274">
        <f ca="1">ROUND(C51/C52,3)</f>
        <v>0.51200000000000001</v>
      </c>
    </row>
    <row r="57" spans="1:7">
      <c r="B57" s="273" t="s">
        <v>41</v>
      </c>
      <c r="C57" s="275">
        <f ca="1">1-C56</f>
        <v>0.48799999999999999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t="e">
        <f ca="1">结果表!H101</f>
        <v>#REF!</v>
      </c>
      <c r="E5" s="1491"/>
    </row>
    <row r="6" spans="1:5" ht="15.75">
      <c r="A6" s="1491"/>
      <c r="B6" s="3463"/>
      <c r="C6" s="1494" t="s">
        <v>911</v>
      </c>
      <c r="D6" s="850" t="e">
        <f ca="1">NUMBERSTRING(INT(D5*10000),2)&amp;"元整"</f>
        <v>#REF!</v>
      </c>
      <c r="E6" s="1491"/>
    </row>
    <row r="7" spans="1:5" ht="15.75">
      <c r="A7" s="1491"/>
      <c r="B7" s="3468"/>
      <c r="C7" s="1495" t="s">
        <v>912</v>
      </c>
      <c r="D7" s="851" t="e">
        <f ca="1">结果表!H102</f>
        <v>#REF!</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t="e">
        <f ca="1">结果表!H107</f>
        <v>#REF!</v>
      </c>
      <c r="E13" s="1491"/>
    </row>
    <row r="14" spans="1:5" ht="15.75">
      <c r="A14" s="1491"/>
      <c r="B14" s="3463"/>
      <c r="C14" s="1494" t="s">
        <v>911</v>
      </c>
      <c r="D14" s="850" t="e">
        <f ca="1">NUMBERSTRING(INT(D13*10000),2)&amp;"元整"</f>
        <v>#REF!</v>
      </c>
      <c r="E14" s="1491"/>
    </row>
    <row r="15" spans="1:5" ht="15">
      <c r="A15" s="1491"/>
      <c r="B15" s="3468"/>
      <c r="C15" s="1495" t="s">
        <v>921</v>
      </c>
      <c r="D15" s="859" t="e">
        <f ca="1">结果表!H108</f>
        <v>#REF!</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154748</v>
      </c>
      <c r="C2" s="1872" t="s">
        <v>1651</v>
      </c>
      <c r="D2" s="1873" t="s">
        <v>1652</v>
      </c>
      <c r="E2" s="2607">
        <f>SUM(E6:E13)</f>
        <v>68805.62</v>
      </c>
      <c r="F2" s="2707"/>
      <c r="G2" s="1489"/>
      <c r="H2" s="1489"/>
      <c r="I2" s="1489"/>
      <c r="J2" s="1489"/>
      <c r="K2" s="1489"/>
      <c r="L2" s="1489"/>
      <c r="M2" s="1489"/>
      <c r="N2" s="1489"/>
      <c r="O2" s="1489"/>
      <c r="P2" s="1489"/>
      <c r="Q2" s="1489"/>
      <c r="R2" s="1489"/>
      <c r="S2" s="1489"/>
    </row>
    <row r="3" spans="1:22" ht="15.75">
      <c r="A3" s="1870" t="s">
        <v>686</v>
      </c>
      <c r="B3" s="2601">
        <f ca="1">ROUND(B2*10000/E2,0)</f>
        <v>22491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78" t="s">
        <v>1654</v>
      </c>
      <c r="C5" s="37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141196</v>
      </c>
      <c r="C6" s="1872" t="s">
        <v>1651</v>
      </c>
      <c r="D6" s="2709"/>
      <c r="E6" s="2606">
        <f>IF(OR(A6=0,F6="否"),0,'数据-取费表'!K6+'数据-取费表'!S6)</f>
        <v>47217.619999999995</v>
      </c>
      <c r="F6" s="1876" t="s">
        <v>1657</v>
      </c>
      <c r="G6" s="1489"/>
      <c r="H6" s="1489"/>
      <c r="I6" s="1489"/>
      <c r="J6" s="1489"/>
      <c r="K6" s="1489"/>
      <c r="L6" s="1489"/>
      <c r="M6" s="1489"/>
      <c r="N6" s="1489"/>
      <c r="O6" s="1489"/>
      <c r="P6" s="1489"/>
      <c r="Q6" s="1489"/>
      <c r="R6" s="1489"/>
      <c r="S6" s="1489"/>
    </row>
    <row r="7" spans="1:22">
      <c r="A7" s="2604" t="str">
        <f>'数据-取费表'!AN7</f>
        <v>收益法(车位)</v>
      </c>
      <c r="B7" s="2602">
        <f ca="1">IF(F7="是",'数据-取费表'!AO7,0)</f>
        <v>13552</v>
      </c>
      <c r="C7" s="1872" t="s">
        <v>1651</v>
      </c>
      <c r="D7" s="2709"/>
      <c r="E7" s="2606">
        <f>IF(OR(A7=0,F7="否"),0,'数据-取费表'!K7+'数据-取费表'!S7)</f>
        <v>21588</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2" t="s">
        <v>2846</v>
      </c>
      <c r="B1" s="3782"/>
      <c r="C1" s="3782"/>
      <c r="D1" s="3782"/>
      <c r="E1" s="3782"/>
      <c r="F1" s="3782"/>
      <c r="G1" s="3783"/>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80"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81"/>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4" t="s">
        <v>3188</v>
      </c>
      <c r="B1" s="3784"/>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5" t="s">
        <v>3239</v>
      </c>
      <c r="B1" s="3785"/>
      <c r="C1" s="3785"/>
      <c r="D1" s="3785"/>
      <c r="E1" s="3785"/>
      <c r="F1" s="3786"/>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44978</v>
      </c>
      <c r="B1" s="3210" t="s">
        <v>2845</v>
      </c>
      <c r="C1" s="3211"/>
      <c r="D1" s="3211"/>
      <c r="E1" s="3211"/>
      <c r="F1" s="3211"/>
      <c r="G1" s="3211"/>
      <c r="H1" s="3211"/>
      <c r="I1" s="3211"/>
      <c r="J1" s="3165"/>
      <c r="K1" s="3211" t="s">
        <v>454</v>
      </c>
      <c r="L1" s="3211"/>
      <c r="M1" s="3211"/>
      <c r="N1" s="3211"/>
      <c r="O1" s="3211"/>
      <c r="P1" s="3211"/>
      <c r="Q1" s="3165"/>
      <c r="R1" s="3787" t="s">
        <v>456</v>
      </c>
      <c r="S1" s="3788"/>
      <c r="T1" s="3788"/>
      <c r="U1" s="3788"/>
      <c r="V1" s="3788"/>
      <c r="W1" s="3788"/>
      <c r="X1" s="3165"/>
      <c r="Y1" s="3787" t="s">
        <v>457</v>
      </c>
      <c r="Z1" s="3788"/>
      <c r="AA1" s="3788"/>
      <c r="AB1" s="3788"/>
      <c r="AC1" s="3788"/>
      <c r="AD1" s="378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7" t="s">
        <v>2833</v>
      </c>
      <c r="S21" s="3788"/>
      <c r="T21" s="3788"/>
      <c r="U21" s="3788"/>
      <c r="V21" s="3788"/>
      <c r="W21" s="3788"/>
      <c r="X21" s="3165"/>
      <c r="Y21" s="3787" t="s">
        <v>2834</v>
      </c>
      <c r="Z21" s="3788"/>
      <c r="AA21" s="3788"/>
      <c r="AB21" s="3788"/>
      <c r="AC21" s="3788"/>
      <c r="AD21" s="3788"/>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68805.62</v>
      </c>
      <c r="C4" s="854">
        <f>项目基本情况!C18</f>
        <v>11305.41</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t="e">
        <f ca="1">结果表!D122</f>
        <v>#REF!</v>
      </c>
      <c r="E8" s="3474"/>
      <c r="F8" s="3474"/>
      <c r="G8" s="3474"/>
      <c r="H8" s="3474"/>
      <c r="I8" s="3474"/>
    </row>
    <row r="9" spans="1:9" ht="15">
      <c r="A9" s="3475" t="s">
        <v>927</v>
      </c>
      <c r="B9" s="3475"/>
      <c r="C9" s="3475"/>
      <c r="D9" s="3475" t="e">
        <f ca="1">结果表!D123</f>
        <v>#REF!</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44979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比较法-住宅</vt:lpstr>
      <vt:lpstr>收益法(车位)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收益法（汇总）</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2023-02-22T04:46:17Z</dcterms:modified>
</cp:coreProperties>
</file>