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3"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r:id="rId47"/>
  </sheets>
  <definedNames>
    <definedName name="_xlnm._FilterDatabase" localSheetId="46" hidden="1">Sheet3!$A$1:$AA$105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 i="80" l="1"/>
  <c r="N1" i="80"/>
  <c r="L1" i="80"/>
  <c r="J1" i="80"/>
  <c r="H1" i="80"/>
  <c r="F1" i="80"/>
  <c r="D1" i="80"/>
  <c r="U6" i="1" l="1"/>
  <c r="C145" i="77"/>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C33" i="77"/>
  <c r="H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C7" i="77"/>
  <c r="C58" i="77" s="1"/>
  <c r="D58" i="77" s="1"/>
  <c r="E58" i="77" s="1"/>
  <c r="F58" i="77" s="1"/>
  <c r="G58" i="77" s="1"/>
  <c r="H58" i="77" s="1"/>
  <c r="I58" i="77" s="1"/>
  <c r="J58" i="77" s="1"/>
  <c r="K58" i="77" s="1"/>
  <c r="L58" i="77" s="1"/>
  <c r="M58" i="77" s="1"/>
  <c r="N58" i="77" s="1"/>
  <c r="O58" i="77" s="1"/>
  <c r="D3" i="77"/>
  <c r="D2" i="77"/>
  <c r="H7" i="77" l="1"/>
  <c r="U8" i="77"/>
  <c r="AA8" i="77"/>
  <c r="AC8" i="77"/>
  <c r="U9" i="77"/>
  <c r="S10" i="77"/>
  <c r="W10" i="77"/>
  <c r="U11" i="77"/>
  <c r="S12" i="77"/>
  <c r="W12" i="77"/>
  <c r="U13" i="77"/>
  <c r="S14" i="77"/>
  <c r="W14" i="77"/>
  <c r="S15" i="77"/>
  <c r="W15" i="77"/>
  <c r="AA17" i="77"/>
  <c r="S17" i="77"/>
  <c r="AC17" i="77"/>
  <c r="W17" i="77"/>
  <c r="U17" i="77"/>
  <c r="U19" i="77"/>
  <c r="U21" i="77"/>
  <c r="AB33" i="77"/>
  <c r="U33" i="77"/>
  <c r="F7" i="77"/>
  <c r="J7"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F33" i="77"/>
  <c r="J33" i="77"/>
  <c r="U34" i="77"/>
  <c r="S35" i="77"/>
  <c r="W35" i="77"/>
  <c r="U36" i="77"/>
  <c r="S37" i="77"/>
  <c r="W37" i="77"/>
  <c r="U38" i="77"/>
  <c r="S39" i="77"/>
  <c r="W39" i="77"/>
  <c r="U40" i="77"/>
  <c r="S41" i="77"/>
  <c r="W41" i="77"/>
  <c r="U42" i="77"/>
  <c r="S43" i="77"/>
  <c r="W43"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AA33" i="77" l="1"/>
  <c r="S33" i="77"/>
  <c r="AC33" i="77"/>
  <c r="W33" i="77"/>
  <c r="AC7" i="77"/>
  <c r="V48" i="77" s="1"/>
  <c r="I48" i="77" s="1"/>
  <c r="W7" i="77"/>
  <c r="AA7" i="77"/>
  <c r="R48" i="77" s="1"/>
  <c r="S7" i="77"/>
  <c r="U7" i="77"/>
  <c r="AB7" i="77"/>
  <c r="T48" i="77" s="1"/>
  <c r="G48" i="77" s="1"/>
  <c r="B15" i="74"/>
  <c r="R49" i="77" l="1"/>
  <c r="E48" i="77"/>
  <c r="G53" i="77"/>
  <c r="H53" i="77" s="1"/>
  <c r="G52" i="77"/>
  <c r="H52" i="77" s="1"/>
  <c r="I53" i="77"/>
  <c r="J53" i="77" s="1"/>
  <c r="I52" i="77"/>
  <c r="J52" i="77" s="1"/>
  <c r="R6" i="1"/>
  <c r="C33" i="21"/>
  <c r="Y6" i="1"/>
  <c r="N6" i="1"/>
  <c r="B24" i="31"/>
  <c r="F19" i="6"/>
  <c r="D3" i="4"/>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s="1"/>
  <c r="B14" i="74" s="1"/>
  <c r="B1" i="74" s="1"/>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8" i="49"/>
  <c r="J53" i="67"/>
  <c r="I54" i="67"/>
  <c r="J53"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F59" i="67"/>
  <c r="M17" i="67"/>
  <c r="F31" i="15"/>
  <c r="F31" i="67"/>
  <c r="F59" i="15"/>
  <c r="T7" i="1"/>
  <c r="AR7" i="1"/>
  <c r="C30" i="11"/>
  <c r="E6" i="70"/>
  <c r="K27" i="6"/>
  <c r="A18" i="62"/>
  <c r="B64" i="72"/>
  <c r="D3" i="34"/>
  <c r="D3" i="21"/>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E33" i="43"/>
  <c r="G35" i="43"/>
  <c r="I35" i="43"/>
  <c r="E35" i="43"/>
  <c r="G36" i="43"/>
  <c r="I36" i="43"/>
  <c r="G34" i="43"/>
  <c r="I34" i="43"/>
  <c r="E34" i="43"/>
  <c r="J7" i="21"/>
  <c r="AC7" i="21"/>
  <c r="V48" i="21"/>
  <c r="I48"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L46" i="67"/>
  <c r="T16" i="1"/>
  <c r="AE8" i="1"/>
  <c r="AG6" i="1"/>
  <c r="H109" i="9"/>
  <c r="H110" i="9"/>
  <c r="D18" i="53"/>
  <c r="B35" i="72"/>
  <c r="D124" i="9"/>
  <c r="D16" i="53"/>
  <c r="B34" i="72"/>
  <c r="D10" i="52"/>
  <c r="H14" i="74"/>
  <c r="D17" i="53"/>
  <c r="B36" i="72"/>
  <c r="D125" i="9"/>
  <c r="D11" i="52"/>
  <c r="B7" i="74"/>
  <c r="D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B9" i="76"/>
  <c r="E2" i="68"/>
  <c r="F43" i="67"/>
  <c r="M9" i="67"/>
  <c r="F8" i="15"/>
  <c r="B8" i="76"/>
  <c r="M28" i="15"/>
  <c r="E13" i="76"/>
  <c r="F9" i="15"/>
  <c r="AO13" i="1"/>
  <c r="B12" i="76"/>
  <c r="E8" i="76"/>
  <c r="F8" i="67"/>
  <c r="F38" i="15"/>
  <c r="F38" i="67"/>
  <c r="F36" i="15"/>
  <c r="B10" i="76"/>
  <c r="M23" i="15"/>
  <c r="D2" i="21"/>
  <c r="F7" i="15"/>
  <c r="D7" i="73"/>
  <c r="F41" i="15"/>
  <c r="F13" i="15"/>
  <c r="M22" i="67"/>
  <c r="M24" i="15"/>
  <c r="E11" i="76"/>
  <c r="F7" i="73"/>
  <c r="F37" i="67"/>
  <c r="M28" i="67"/>
  <c r="F40" i="15"/>
  <c r="C14" i="15"/>
  <c r="F37" i="15"/>
  <c r="F26" i="67"/>
  <c r="AE6" i="1"/>
  <c r="B7" i="76"/>
  <c r="M8" i="67"/>
  <c r="C76" i="67"/>
  <c r="M27" i="15"/>
  <c r="J15" i="15"/>
  <c r="F40" i="67"/>
  <c r="M24" i="67"/>
  <c r="F4" i="73"/>
  <c r="D34" i="9"/>
  <c r="D6" i="73"/>
  <c r="D2" i="37"/>
  <c r="F7" i="67"/>
  <c r="D2" i="35"/>
  <c r="F20" i="31"/>
  <c r="AO11" i="1"/>
  <c r="AO7" i="1"/>
  <c r="J15" i="67"/>
  <c r="F6" i="15"/>
  <c r="M6" i="15"/>
  <c r="F42" i="15"/>
  <c r="M6" i="67"/>
  <c r="E9" i="76"/>
  <c r="B13" i="76"/>
  <c r="L47" i="67"/>
  <c r="D3" i="73"/>
  <c r="D4" i="73"/>
  <c r="B11" i="76"/>
  <c r="E12" i="76"/>
  <c r="F6" i="67"/>
  <c r="D2" i="34"/>
  <c r="M21" i="67"/>
  <c r="AO10" i="1"/>
  <c r="M29" i="15"/>
  <c r="E10" i="76"/>
  <c r="F35" i="15"/>
  <c r="D35" i="9"/>
  <c r="M27" i="67"/>
  <c r="C76" i="15"/>
  <c r="F36" i="67"/>
  <c r="D2" i="33"/>
  <c r="M26" i="15"/>
  <c r="L48" i="67"/>
  <c r="D2" i="36"/>
  <c r="L47" i="15"/>
  <c r="AO8" i="1"/>
  <c r="F43" i="15"/>
  <c r="F9" i="67"/>
  <c r="F26" i="15"/>
  <c r="M8" i="15"/>
  <c r="D5" i="73"/>
  <c r="E2" i="69"/>
  <c r="F6" i="73"/>
  <c r="F16" i="67"/>
  <c r="M29" i="67"/>
  <c r="F35" i="67"/>
  <c r="M22" i="15"/>
  <c r="M26" i="67"/>
  <c r="F16" i="15"/>
  <c r="F42" i="67"/>
  <c r="AO12" i="1"/>
  <c r="M21" i="15"/>
  <c r="L48" i="15"/>
  <c r="M23" i="67"/>
  <c r="M9" i="15"/>
  <c r="AO9" i="1"/>
  <c r="F3" i="73"/>
  <c r="F5" i="73"/>
  <c r="E7" i="76"/>
  <c r="F13" i="67"/>
  <c r="E11" i="49" l="1"/>
  <c r="E22" i="49"/>
  <c r="E5" i="49"/>
  <c r="B9" i="49"/>
  <c r="B7" i="49"/>
  <c r="B8" i="49"/>
  <c r="C4" i="4" s="1"/>
  <c r="B4" i="62" s="1"/>
  <c r="B71" i="72" s="1"/>
  <c r="E10" i="49"/>
  <c r="E16" i="49"/>
  <c r="B5" i="49"/>
  <c r="B14" i="49"/>
  <c r="B22" i="49"/>
  <c r="T48" i="21"/>
  <c r="G48" i="21" s="1"/>
  <c r="G52" i="21" s="1"/>
  <c r="H52" i="21" s="1"/>
  <c r="R48" i="21"/>
  <c r="R49" i="21" s="1"/>
  <c r="S40" i="21"/>
  <c r="C47" i="69"/>
  <c r="D45" i="69" s="1"/>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8" i="74"/>
  <c r="C7" i="74"/>
  <c r="E53" i="77"/>
  <c r="F53" i="77" s="1"/>
  <c r="E52" i="77"/>
  <c r="F52" i="77" s="1"/>
  <c r="C49" i="77"/>
  <c r="C48" i="77"/>
  <c r="R16" i="1"/>
  <c r="E4" i="49"/>
  <c r="B6" i="49"/>
  <c r="E9" i="49"/>
  <c r="E21" i="49"/>
  <c r="B11" i="49"/>
  <c r="B13" i="49"/>
  <c r="B4" i="49"/>
  <c r="E4" i="4" s="1"/>
  <c r="B5" i="62" s="1"/>
  <c r="B73" i="72" s="1"/>
  <c r="E6" i="49"/>
  <c r="E7" i="49"/>
  <c r="B16" i="49"/>
  <c r="B10" i="49"/>
  <c r="D19" i="69"/>
  <c r="D37" i="69" s="1"/>
  <c r="C37" i="69" s="1"/>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0" i="69"/>
  <c r="C8" i="69" s="1"/>
  <c r="C5" i="69" s="1"/>
  <c r="C15" i="12"/>
  <c r="D19" i="68"/>
  <c r="C14" i="12"/>
  <c r="C18" i="12"/>
  <c r="G53" i="21"/>
  <c r="H53" i="21" s="1"/>
  <c r="I52" i="21"/>
  <c r="J52" i="21" s="1"/>
  <c r="E48" i="21"/>
  <c r="I53" i="21" s="1"/>
  <c r="J53" i="21" s="1"/>
  <c r="C34" i="68"/>
  <c r="B7" i="70"/>
  <c r="B2" i="36"/>
  <c r="B3" i="36" s="1"/>
  <c r="B8" i="70"/>
  <c r="C15" i="15"/>
  <c r="C18" i="15"/>
  <c r="C34" i="15"/>
  <c r="F63" i="15"/>
  <c r="C62" i="15" s="1"/>
  <c r="B2" i="34"/>
  <c r="B3" i="34" s="1"/>
  <c r="B2" i="35"/>
  <c r="B3" i="35" s="1"/>
  <c r="B2" i="37"/>
  <c r="B3" i="37" s="1"/>
  <c r="B2" i="33"/>
  <c r="B3" i="33" s="1"/>
  <c r="F69" i="15"/>
  <c r="J20" i="15"/>
  <c r="J20" i="67"/>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F71" i="67"/>
  <c r="M7" i="67"/>
  <c r="F50" i="67"/>
  <c r="C6" i="67"/>
  <c r="B9" i="70"/>
  <c r="B10" i="70"/>
  <c r="E20" i="43"/>
  <c r="J6" i="67"/>
  <c r="F68" i="67"/>
  <c r="C34" i="67"/>
  <c r="F63" i="67"/>
  <c r="C62" i="67" s="1"/>
  <c r="I1" i="73"/>
  <c r="B39" i="1" s="1"/>
  <c r="F51" i="67"/>
  <c r="C19" i="69"/>
  <c r="C20" i="69" s="1"/>
  <c r="C38" i="69"/>
  <c r="C47" i="68"/>
  <c r="D45" i="68" s="1"/>
  <c r="G1" i="73"/>
  <c r="F41" i="67"/>
  <c r="C17" i="67"/>
  <c r="C16" i="15"/>
  <c r="C17" i="15"/>
  <c r="C16" i="67"/>
  <c r="C14" i="67"/>
  <c r="C16" i="12" l="1"/>
  <c r="B40" i="1"/>
  <c r="F25" i="12" s="1"/>
  <c r="B3" i="77"/>
  <c r="B2" i="77"/>
  <c r="G38" i="43"/>
  <c r="I38" i="43" s="1"/>
  <c r="E38" i="43"/>
  <c r="G37" i="43"/>
  <c r="I37" i="43" s="1"/>
  <c r="E37" i="43"/>
  <c r="C30" i="43"/>
  <c r="E30" i="43" s="1"/>
  <c r="C27" i="43" s="1"/>
  <c r="E29" i="43"/>
  <c r="C26" i="43" s="1"/>
  <c r="K4" i="4"/>
  <c r="B46" i="48" s="1"/>
  <c r="B4" i="72" s="1"/>
  <c r="F69" i="67"/>
  <c r="C21" i="12"/>
  <c r="C22" i="12" s="1"/>
  <c r="C19" i="68"/>
  <c r="D37" i="68"/>
  <c r="C37" i="68" s="1"/>
  <c r="E52" i="21"/>
  <c r="F52" i="21" s="1"/>
  <c r="E53" i="21"/>
  <c r="F53" i="21" s="1"/>
  <c r="C48" i="21"/>
  <c r="C49" i="21"/>
  <c r="C33" i="69"/>
  <c r="C38" i="68"/>
  <c r="C35" i="68"/>
  <c r="C15" i="67"/>
  <c r="C18" i="67"/>
  <c r="C19" i="15"/>
  <c r="C39" i="69"/>
  <c r="C28" i="69"/>
  <c r="C27" i="69" s="1"/>
  <c r="F11" i="67"/>
  <c r="M11" i="67"/>
  <c r="J10" i="67" s="1"/>
  <c r="J5" i="67" s="1"/>
  <c r="M11" i="15"/>
  <c r="J10" i="15" s="1"/>
  <c r="J5" i="15" s="1"/>
  <c r="F11" i="15"/>
  <c r="F24" i="67"/>
  <c r="C24" i="67" s="1"/>
  <c r="F22" i="11"/>
  <c r="Q60" i="67"/>
  <c r="Q73" i="67"/>
  <c r="Q74" i="15"/>
  <c r="Q61" i="15"/>
  <c r="C49" i="67"/>
  <c r="O17" i="43"/>
  <c r="N17" i="43"/>
  <c r="M17" i="43"/>
  <c r="P17" i="43"/>
  <c r="Q57" i="67"/>
  <c r="Q66" i="67"/>
  <c r="Q74" i="67"/>
  <c r="Q61" i="67"/>
  <c r="Q73" i="15"/>
  <c r="Q60" i="15"/>
  <c r="E6" i="76"/>
  <c r="F22" i="68" l="1"/>
  <c r="F22" i="69"/>
  <c r="C24" i="69" s="1"/>
  <c r="F24" i="15"/>
  <c r="C24" i="15" s="1"/>
  <c r="E2" i="76"/>
  <c r="B2" i="43"/>
  <c r="C30" i="12"/>
  <c r="C28" i="12" s="1"/>
  <c r="C20" i="68"/>
  <c r="C28" i="68" s="1"/>
  <c r="C27" i="68" s="1"/>
  <c r="B3" i="21"/>
  <c r="B2" i="21"/>
  <c r="C33" i="68"/>
  <c r="C39" i="68" s="1"/>
  <c r="C46" i="68" s="1"/>
  <c r="C45" i="68" s="1"/>
  <c r="C19" i="67"/>
  <c r="J24" i="15"/>
  <c r="J18" i="15"/>
  <c r="J26" i="15"/>
  <c r="J29" i="15" s="1"/>
  <c r="C20" i="67"/>
  <c r="C26" i="67" s="1"/>
  <c r="C26" i="11"/>
  <c r="D22" i="11" s="1"/>
  <c r="C24" i="11"/>
  <c r="C43" i="11"/>
  <c r="C25" i="11"/>
  <c r="C44" i="11"/>
  <c r="D41" i="11" s="1"/>
  <c r="C23" i="11"/>
  <c r="C42" i="11"/>
  <c r="C41" i="11" s="1"/>
  <c r="C49" i="11" s="1"/>
  <c r="C51" i="11" s="1"/>
  <c r="C23" i="68"/>
  <c r="C26" i="68"/>
  <c r="D22" i="68" s="1"/>
  <c r="C44" i="68"/>
  <c r="D41" i="68" s="1"/>
  <c r="C24" i="68"/>
  <c r="J26" i="67"/>
  <c r="J29" i="67" s="1"/>
  <c r="J24" i="67"/>
  <c r="J18" i="67"/>
  <c r="C53" i="67"/>
  <c r="C48" i="67" s="1"/>
  <c r="C10" i="67"/>
  <c r="C5" i="67" s="1"/>
  <c r="C25" i="69"/>
  <c r="C43" i="69"/>
  <c r="C20" i="15"/>
  <c r="C23" i="15" s="1"/>
  <c r="C26" i="69"/>
  <c r="D22" i="69" s="1"/>
  <c r="C44" i="69"/>
  <c r="D41" i="69" s="1"/>
  <c r="C23" i="69"/>
  <c r="C26" i="12"/>
  <c r="D25" i="12" s="1"/>
  <c r="C27" i="12"/>
  <c r="C25" i="12" s="1"/>
  <c r="C10" i="15"/>
  <c r="C5" i="15" s="1"/>
  <c r="C53" i="15"/>
  <c r="C48" i="15" s="1"/>
  <c r="C46" i="69"/>
  <c r="C45" i="69" s="1"/>
  <c r="B6" i="76"/>
  <c r="C20" i="9"/>
  <c r="C19" i="9"/>
  <c r="C42" i="69" l="1"/>
  <c r="C41" i="69" s="1"/>
  <c r="C49" i="69" s="1"/>
  <c r="C51" i="69" s="1"/>
  <c r="C22" i="11"/>
  <c r="C31" i="11" s="1"/>
  <c r="C52" i="11" s="1"/>
  <c r="B2" i="11" s="1"/>
  <c r="B3" i="11" s="1"/>
  <c r="C42" i="68"/>
  <c r="B2" i="76"/>
  <c r="B3" i="76" s="1"/>
  <c r="B3" i="43"/>
  <c r="C25" i="68"/>
  <c r="C22" i="68" s="1"/>
  <c r="C31" i="68" s="1"/>
  <c r="C26" i="15"/>
  <c r="C29" i="15" s="1"/>
  <c r="C43" i="68"/>
  <c r="C102" i="9"/>
  <c r="C21" i="9"/>
  <c r="C103" i="9"/>
  <c r="C32" i="15"/>
  <c r="C38" i="15"/>
  <c r="C60" i="67"/>
  <c r="C66" i="67"/>
  <c r="C23" i="67"/>
  <c r="C29" i="67" s="1"/>
  <c r="C60" i="15"/>
  <c r="C66" i="15"/>
  <c r="C32" i="12"/>
  <c r="B2" i="12" s="1"/>
  <c r="B3" i="12" s="1"/>
  <c r="C22" i="69"/>
  <c r="C31" i="69" s="1"/>
  <c r="C32" i="67"/>
  <c r="C38" i="67"/>
  <c r="C52" i="69" l="1"/>
  <c r="B2" i="69" s="1"/>
  <c r="B3" i="69" s="1"/>
  <c r="C41" i="68"/>
  <c r="C49" i="68" s="1"/>
  <c r="C51" i="68" s="1"/>
  <c r="C52" i="68" s="1"/>
  <c r="B2" i="68" s="1"/>
  <c r="B3" i="68" s="1"/>
  <c r="C33" i="67"/>
  <c r="C31" i="67" s="1"/>
  <c r="C36" i="67"/>
  <c r="C13" i="67"/>
  <c r="C57" i="67"/>
  <c r="J19" i="67"/>
  <c r="J17" i="67" s="1"/>
  <c r="Q49" i="67"/>
  <c r="J14" i="67"/>
  <c r="C57" i="15"/>
  <c r="C33" i="15"/>
  <c r="C13" i="15"/>
  <c r="C36" i="15"/>
  <c r="Q49" i="15"/>
  <c r="J14" i="15"/>
  <c r="J19" i="15"/>
  <c r="J17" i="15" s="1"/>
  <c r="J59" i="15"/>
  <c r="J60" i="15" s="1"/>
  <c r="C56" i="11"/>
  <c r="C57" i="11" s="1"/>
  <c r="C31" i="15"/>
  <c r="C57" i="68" l="1"/>
  <c r="C56" i="68" s="1"/>
  <c r="C57" i="69"/>
  <c r="C56" i="69" s="1"/>
  <c r="Q48" i="15"/>
  <c r="L46" i="15"/>
  <c r="J22" i="15"/>
  <c r="J13" i="15"/>
  <c r="J23" i="15" s="1"/>
  <c r="C56" i="15"/>
  <c r="C65" i="15" s="1"/>
  <c r="C75" i="15"/>
  <c r="Q70" i="15"/>
  <c r="C37" i="15"/>
  <c r="C30" i="15" s="1"/>
  <c r="C39" i="15" s="1"/>
  <c r="C64" i="15"/>
  <c r="C61" i="15"/>
  <c r="C59" i="15" s="1"/>
  <c r="C64" i="67"/>
  <c r="C61" i="67"/>
  <c r="C59" i="67" s="1"/>
  <c r="J13" i="67"/>
  <c r="J23" i="67" s="1"/>
  <c r="J22" i="67"/>
  <c r="C37" i="67"/>
  <c r="C30" i="67" s="1"/>
  <c r="C39" i="67" s="1"/>
  <c r="Q70" i="67"/>
  <c r="C75" i="67"/>
  <c r="C56" i="67"/>
  <c r="C65" i="67" s="1"/>
  <c r="J16" i="67" l="1"/>
  <c r="J25" i="67" s="1"/>
  <c r="C58" i="15"/>
  <c r="C67" i="15" s="1"/>
  <c r="C68" i="15" s="1"/>
  <c r="C71" i="15" s="1"/>
  <c r="C58" i="67"/>
  <c r="C67" i="67" s="1"/>
  <c r="C68" i="67" s="1"/>
  <c r="C71" i="67" s="1"/>
  <c r="J16" i="15"/>
  <c r="J25" i="15" s="1"/>
  <c r="C40" i="67"/>
  <c r="Q69" i="67"/>
  <c r="Q68" i="67" s="1"/>
  <c r="C80" i="67"/>
  <c r="C79" i="67" s="1"/>
  <c r="C40" i="15"/>
  <c r="Q69" i="15"/>
  <c r="Q68" i="15" s="1"/>
  <c r="C80" i="15"/>
  <c r="C79" i="15" s="1"/>
  <c r="L51" i="15"/>
  <c r="L51" i="67"/>
  <c r="C45" i="67" l="1"/>
  <c r="C46" i="67" s="1"/>
  <c r="C46" i="15"/>
  <c r="Q67" i="15"/>
  <c r="L57" i="15"/>
  <c r="L60" i="15" s="1"/>
  <c r="Q67" i="67"/>
  <c r="L57" i="67"/>
  <c r="Q65" i="15"/>
  <c r="Q47" i="15"/>
  <c r="Q53" i="15" s="1"/>
  <c r="Q56" i="15"/>
  <c r="B2" i="15"/>
  <c r="B3" i="15" s="1"/>
  <c r="C43" i="15"/>
  <c r="C83" i="15"/>
  <c r="C82" i="15" s="1"/>
  <c r="D2" i="67"/>
  <c r="C43" i="67"/>
  <c r="Q56" i="67"/>
  <c r="Q62" i="67" s="1"/>
  <c r="Q65" i="67"/>
  <c r="Q75" i="67" s="1"/>
  <c r="Q47" i="67"/>
  <c r="Q53" i="67" s="1"/>
  <c r="C83" i="67"/>
  <c r="C82" i="67" s="1"/>
  <c r="Q66" i="15" l="1"/>
  <c r="Q75" i="15" s="1"/>
  <c r="Q57" i="15"/>
  <c r="Q62" i="15" s="1"/>
  <c r="B3" i="67"/>
  <c r="B2" i="67"/>
  <c r="AO6" i="1"/>
  <c r="D20" i="9"/>
  <c r="D19" i="9"/>
  <c r="B6" i="70" l="1"/>
  <c r="B2" i="70" s="1"/>
  <c r="B3" i="70" s="1"/>
  <c r="D102" i="9"/>
  <c r="D21" i="9"/>
  <c r="D22" i="9"/>
  <c r="G19" i="9"/>
  <c r="D103" i="9"/>
  <c r="G20" i="9"/>
  <c r="R24" i="31" s="1"/>
  <c r="R105" i="31" l="1"/>
  <c r="S105"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04" i="31"/>
  <c r="S104" i="31" s="1"/>
  <c r="R106" i="31"/>
  <c r="S106"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25" i="31"/>
  <c r="S25"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S24" i="31"/>
  <c r="G21" i="9"/>
  <c r="C32" i="9"/>
  <c r="D15" i="74" l="1"/>
  <c r="G15" i="74" s="1"/>
  <c r="S22" i="31"/>
  <c r="B20" i="31" s="1"/>
  <c r="C35" i="9"/>
  <c r="F118" i="9" s="1"/>
  <c r="H118" i="9"/>
  <c r="E15" i="74" l="1"/>
  <c r="F15" i="74"/>
  <c r="R22" i="31"/>
  <c r="B21" i="31" s="1"/>
  <c r="H101" i="9"/>
  <c r="C104" i="9"/>
  <c r="I118" i="9"/>
  <c r="H119" i="9"/>
  <c r="H5" i="52" s="1"/>
  <c r="H4" i="52"/>
  <c r="D14" i="74"/>
  <c r="C34" i="9"/>
  <c r="D118" i="9" s="1"/>
  <c r="F4" i="52"/>
  <c r="B51" i="72" s="1"/>
  <c r="F119" i="9"/>
  <c r="F5" i="52" s="1"/>
  <c r="B53" i="72" s="1"/>
  <c r="G118" i="9"/>
  <c r="G4" i="52" s="1"/>
  <c r="B52" i="72" s="1"/>
  <c r="E14" i="74" l="1"/>
  <c r="F14" i="74"/>
  <c r="B5" i="74"/>
  <c r="D119" i="9"/>
  <c r="D5" i="52" s="1"/>
  <c r="B49" i="72" s="1"/>
  <c r="D4" i="52"/>
  <c r="B47" i="72" s="1"/>
  <c r="H102" i="9"/>
  <c r="D7" i="53" s="1"/>
  <c r="B21" i="72" s="1"/>
  <c r="I4" i="52"/>
  <c r="E118" i="9"/>
  <c r="E4" i="52" s="1"/>
  <c r="B48" i="72" s="1"/>
  <c r="C105" i="9"/>
  <c r="D5" i="53"/>
  <c r="H107" i="9"/>
  <c r="D45" i="9"/>
  <c r="M48" i="9"/>
  <c r="D53" i="9" l="1"/>
  <c r="C93" i="9"/>
  <c r="C86" i="9" s="1"/>
  <c r="C72" i="9"/>
  <c r="C78" i="9"/>
  <c r="C73" i="9" s="1"/>
  <c r="C85" i="9"/>
  <c r="D55" i="9"/>
  <c r="M53" i="9" s="1"/>
  <c r="C64" i="9"/>
  <c r="C63" i="9" s="1"/>
  <c r="C67" i="9" s="1"/>
  <c r="C68" i="9" s="1"/>
  <c r="D54" i="9" s="1"/>
  <c r="D52" i="9"/>
  <c r="D6" i="53"/>
  <c r="B22" i="72" s="1"/>
  <c r="B20" i="72"/>
  <c r="M49" i="9"/>
  <c r="H108" i="9"/>
  <c r="D15" i="53" s="1"/>
  <c r="B31" i="72" s="1"/>
  <c r="D122" i="9"/>
  <c r="D13" i="53"/>
  <c r="D5" i="74"/>
  <c r="C5" i="74"/>
  <c r="C95" i="9" l="1"/>
  <c r="C96" i="9" s="1"/>
  <c r="E96" i="9" s="1"/>
  <c r="E97" i="9" s="1"/>
  <c r="C79" i="9"/>
  <c r="C80" i="9" s="1"/>
  <c r="E80" i="9" s="1"/>
  <c r="E81" i="9" s="1"/>
  <c r="G14" i="74"/>
  <c r="B6" i="74" s="1"/>
  <c r="D8" i="52"/>
  <c r="D123" i="9"/>
  <c r="D9" i="52" s="1"/>
  <c r="L65" i="9"/>
  <c r="M65" i="9" s="1"/>
  <c r="L64" i="9"/>
  <c r="M64" i="9" s="1"/>
  <c r="L67" i="9"/>
  <c r="M67" i="9" s="1"/>
  <c r="L68" i="9"/>
  <c r="M68" i="9" s="1"/>
  <c r="L66" i="9"/>
  <c r="M66" i="9" s="1"/>
  <c r="L63" i="9"/>
  <c r="M63" i="9" s="1"/>
  <c r="D14" i="53"/>
  <c r="B32" i="72" s="1"/>
  <c r="B30" i="72"/>
  <c r="M69" i="9" l="1"/>
  <c r="N69" i="9" s="1"/>
  <c r="C81" i="9"/>
  <c r="C97" i="9"/>
  <c r="D58" i="9" s="1"/>
  <c r="D56" i="9" s="1"/>
  <c r="M54" i="9" s="1"/>
  <c r="N57" i="9" s="1"/>
  <c r="C6" i="74"/>
  <c r="D6" i="74"/>
  <c r="P57" i="9" l="1"/>
  <c r="N58" i="9"/>
  <c r="N59" i="9"/>
  <c r="N60" i="9" l="1"/>
  <c r="N61" i="9"/>
  <c r="E105" i="80"/>
  <c r="E103" i="80"/>
  <c r="E101" i="80"/>
  <c r="E99" i="80"/>
  <c r="E97" i="80"/>
  <c r="E95" i="80"/>
  <c r="E29" i="80"/>
  <c r="E22" i="80"/>
  <c r="E23" i="80"/>
  <c r="E20" i="80"/>
  <c r="E18" i="80"/>
  <c r="E25" i="80"/>
  <c r="E81" i="80"/>
  <c r="E79" i="80"/>
  <c r="E104" i="80"/>
  <c r="E102" i="80"/>
  <c r="E100" i="80"/>
  <c r="E98" i="80"/>
  <c r="E96" i="80"/>
  <c r="E94" i="80"/>
  <c r="E24" i="80"/>
  <c r="E28" i="80"/>
  <c r="E21" i="80"/>
  <c r="E19" i="80"/>
  <c r="E17" i="80"/>
  <c r="E30" i="80"/>
  <c r="E80" i="80"/>
  <c r="E78" i="80"/>
  <c r="E76" i="80"/>
  <c r="E77" i="80"/>
  <c r="E73" i="80"/>
  <c r="E71" i="80"/>
  <c r="E69" i="80"/>
  <c r="E67" i="80"/>
  <c r="E65" i="80"/>
  <c r="E63" i="80"/>
  <c r="E61" i="80"/>
  <c r="E59" i="80"/>
  <c r="E57" i="80"/>
  <c r="E55" i="80"/>
  <c r="E53" i="80"/>
  <c r="E51" i="80"/>
  <c r="E48" i="80"/>
  <c r="E44" i="80"/>
  <c r="E41" i="80"/>
  <c r="E89" i="80"/>
  <c r="E87" i="80"/>
  <c r="E85" i="80"/>
  <c r="E83" i="80"/>
  <c r="E39" i="80"/>
  <c r="E37" i="80"/>
  <c r="E35" i="80"/>
  <c r="E33" i="80"/>
  <c r="E92" i="80"/>
  <c r="E90" i="80"/>
  <c r="E31" i="80"/>
  <c r="E47" i="80"/>
  <c r="E43" i="80"/>
  <c r="E16" i="80"/>
  <c r="E12" i="80"/>
  <c r="E15" i="80"/>
  <c r="E11" i="80"/>
  <c r="E9" i="80"/>
  <c r="E7" i="80"/>
  <c r="E4" i="80"/>
  <c r="E74" i="80"/>
  <c r="E75" i="80"/>
  <c r="E72" i="80"/>
  <c r="E70" i="80"/>
  <c r="E68" i="80"/>
  <c r="E66" i="80"/>
  <c r="E64" i="80"/>
  <c r="E62" i="80"/>
  <c r="E60" i="80"/>
  <c r="E58" i="80"/>
  <c r="E56" i="80"/>
  <c r="E54" i="80"/>
  <c r="E52" i="80"/>
  <c r="E50" i="80"/>
  <c r="E46" i="80"/>
  <c r="E42" i="80"/>
  <c r="E40" i="80"/>
  <c r="E88" i="80"/>
  <c r="E86" i="80"/>
  <c r="E84" i="80"/>
  <c r="E82" i="80"/>
  <c r="E38" i="80"/>
  <c r="E36" i="80"/>
  <c r="E34" i="80"/>
  <c r="E93" i="80"/>
  <c r="E91" i="80"/>
  <c r="E32" i="80"/>
  <c r="E49" i="80"/>
  <c r="E45" i="80"/>
  <c r="E27" i="80"/>
  <c r="E14" i="80"/>
  <c r="E26" i="80"/>
  <c r="E13" i="80"/>
  <c r="E10" i="80"/>
  <c r="E8" i="80"/>
  <c r="E6" i="80"/>
  <c r="E5" i="80"/>
  <c r="E3" i="80"/>
  <c r="Q26" i="80"/>
  <c r="Q17" i="80"/>
  <c r="Q90" i="80"/>
  <c r="Q29" i="80"/>
  <c r="Q11" i="80"/>
  <c r="Q100" i="80"/>
  <c r="Q105" i="80"/>
  <c r="Q50" i="80"/>
  <c r="Q95" i="80"/>
  <c r="Q82" i="80"/>
  <c r="Q42" i="80"/>
  <c r="Q74" i="80"/>
  <c r="Q94" i="80"/>
  <c r="Q83" i="80"/>
  <c r="Q7" i="80"/>
  <c r="Q28" i="80"/>
  <c r="Q30" i="80"/>
  <c r="Q71" i="80"/>
  <c r="Q45" i="80"/>
  <c r="Q34" i="80"/>
  <c r="Q67" i="80"/>
  <c r="Q70" i="80"/>
  <c r="Q69" i="80"/>
  <c r="Q24" i="80"/>
  <c r="Q81" i="80"/>
  <c r="Q9" i="80"/>
  <c r="Q21" i="80"/>
  <c r="Q48" i="80"/>
  <c r="Q102" i="80"/>
  <c r="Q46" i="80"/>
  <c r="Q79" i="80"/>
  <c r="Q88" i="80"/>
  <c r="Q59" i="80"/>
  <c r="Q40" i="80"/>
  <c r="Q77" i="80"/>
  <c r="Q72" i="80"/>
  <c r="Q5" i="80"/>
  <c r="Q35" i="80"/>
  <c r="Q61" i="80"/>
  <c r="Q25" i="80"/>
  <c r="Q104" i="80"/>
  <c r="Q91" i="80"/>
  <c r="Q99" i="80"/>
  <c r="Q62" i="80"/>
  <c r="Q93" i="80"/>
  <c r="Q23" i="80"/>
  <c r="Q92" i="80"/>
  <c r="Q18" i="80"/>
  <c r="Q43" i="80"/>
  <c r="Q87" i="80"/>
  <c r="Q13" i="80"/>
  <c r="Q51" i="80"/>
  <c r="Q36" i="80"/>
  <c r="Q49" i="80"/>
  <c r="Q15" i="80"/>
  <c r="Q89" i="80"/>
  <c r="Q8" i="80"/>
  <c r="Q14" i="80"/>
  <c r="Q16" i="80"/>
  <c r="Q57" i="80"/>
  <c r="Q65" i="80"/>
  <c r="Q20" i="80"/>
  <c r="Q37" i="80"/>
  <c r="Q68" i="80"/>
  <c r="Q55" i="80"/>
  <c r="Q44" i="80"/>
  <c r="Q63" i="80"/>
  <c r="Q22" i="80"/>
  <c r="Q12" i="80"/>
  <c r="Q31" i="80"/>
  <c r="Q80" i="80"/>
  <c r="Q47" i="80"/>
  <c r="Q96" i="80"/>
  <c r="Q86" i="80"/>
  <c r="Q27" i="80"/>
  <c r="Q73" i="80"/>
  <c r="Q97" i="80"/>
  <c r="Q33" i="80"/>
  <c r="Q64" i="80"/>
  <c r="Q52" i="80"/>
  <c r="Q78" i="80"/>
  <c r="Q75" i="80"/>
  <c r="Q103" i="80"/>
  <c r="Q39" i="80"/>
  <c r="Q19" i="80"/>
  <c r="Q6" i="80"/>
  <c r="Q4" i="80"/>
  <c r="Q84" i="80"/>
  <c r="Q85" i="80"/>
  <c r="Q53" i="80"/>
  <c r="Q54" i="80"/>
  <c r="Q56" i="80"/>
  <c r="Q101" i="80"/>
  <c r="Q38" i="80"/>
  <c r="Q32" i="80"/>
  <c r="Q98" i="80"/>
  <c r="Q66" i="80"/>
  <c r="Q60" i="80"/>
  <c r="Q10" i="80"/>
  <c r="Q76" i="80"/>
  <c r="Q41" i="80"/>
  <c r="Q58" i="80"/>
  <c r="M72" i="80"/>
  <c r="M20" i="80"/>
  <c r="M7" i="80"/>
  <c r="M85" i="80"/>
  <c r="M91" i="80"/>
  <c r="M64" i="80"/>
  <c r="M3" i="80"/>
  <c r="M74" i="80"/>
  <c r="M101" i="80"/>
  <c r="M22" i="80"/>
  <c r="M31" i="80"/>
  <c r="M23" i="80"/>
  <c r="M83" i="80"/>
  <c r="M68" i="80"/>
  <c r="M38" i="80"/>
  <c r="M92" i="80"/>
  <c r="M19" i="80"/>
  <c r="M103" i="80"/>
  <c r="M94" i="80"/>
  <c r="M25" i="80"/>
  <c r="M97" i="80"/>
  <c r="M69" i="80"/>
  <c r="M34" i="80"/>
  <c r="M24" i="80"/>
  <c r="M26" i="80"/>
  <c r="M11" i="80"/>
  <c r="M45" i="80"/>
  <c r="M51" i="80"/>
  <c r="M6" i="80"/>
  <c r="M79" i="80"/>
  <c r="M56" i="80"/>
  <c r="M12" i="80"/>
  <c r="M78" i="80"/>
  <c r="M9" i="80"/>
  <c r="M33" i="80"/>
  <c r="M52" i="80"/>
  <c r="M66" i="80"/>
  <c r="M80" i="80"/>
  <c r="M32" i="80"/>
  <c r="M47" i="80"/>
  <c r="M98" i="80"/>
  <c r="M5" i="80"/>
  <c r="M44" i="80"/>
  <c r="M10" i="80"/>
  <c r="M82" i="80"/>
  <c r="M75" i="80"/>
  <c r="M18" i="80"/>
  <c r="M95" i="80"/>
  <c r="M90" i="80"/>
  <c r="M65" i="80"/>
  <c r="M54" i="80"/>
  <c r="M100" i="80"/>
  <c r="M48" i="80"/>
  <c r="M15" i="80"/>
  <c r="M104" i="80"/>
  <c r="M60" i="80"/>
  <c r="M13" i="80"/>
  <c r="M30" i="80"/>
  <c r="M88" i="80"/>
  <c r="M27" i="80"/>
  <c r="M42" i="80"/>
  <c r="M102" i="80"/>
  <c r="M16" i="80"/>
  <c r="M39" i="80"/>
  <c r="M55" i="80"/>
  <c r="M86" i="80"/>
  <c r="M40" i="80"/>
  <c r="M99" i="80"/>
  <c r="M28" i="80"/>
  <c r="M73" i="80"/>
  <c r="M14" i="80"/>
  <c r="M87" i="80"/>
  <c r="M67" i="80"/>
  <c r="M105" i="80"/>
  <c r="M62" i="80"/>
  <c r="M61" i="80"/>
  <c r="M37" i="80"/>
  <c r="M89" i="80"/>
  <c r="M84" i="80"/>
  <c r="M21" i="80"/>
  <c r="M46" i="80"/>
  <c r="M43" i="80"/>
  <c r="M8" i="80"/>
  <c r="M35" i="80"/>
  <c r="M17" i="80"/>
  <c r="M53" i="80"/>
  <c r="M71" i="80"/>
  <c r="M70" i="80"/>
  <c r="M50" i="80"/>
  <c r="M81" i="80"/>
  <c r="M29" i="80"/>
  <c r="M77" i="80"/>
  <c r="M57" i="80"/>
  <c r="M76" i="80"/>
  <c r="M58" i="80"/>
  <c r="M36" i="80"/>
  <c r="M59" i="80"/>
  <c r="M93" i="80"/>
  <c r="M41" i="80"/>
  <c r="M63" i="80"/>
  <c r="M96" i="80"/>
  <c r="M4" i="80"/>
  <c r="M49" i="80"/>
  <c r="I96" i="80"/>
  <c r="I32" i="80"/>
  <c r="I7" i="80"/>
  <c r="I103" i="80"/>
  <c r="I71" i="80"/>
  <c r="I15" i="80"/>
  <c r="I105" i="80"/>
  <c r="I19" i="80"/>
  <c r="I48" i="80"/>
  <c r="I39" i="80"/>
  <c r="I17" i="80"/>
  <c r="I46" i="80"/>
  <c r="I9" i="80"/>
  <c r="I27" i="80"/>
  <c r="I94" i="80"/>
  <c r="I29" i="80"/>
  <c r="I38" i="80"/>
  <c r="I77" i="80"/>
  <c r="I41" i="80"/>
  <c r="I4" i="80"/>
  <c r="I43" i="80"/>
  <c r="I81" i="80"/>
  <c r="I56" i="80"/>
  <c r="I23" i="80"/>
  <c r="I86" i="80"/>
  <c r="I45" i="80"/>
  <c r="I97" i="80"/>
  <c r="I37" i="80"/>
  <c r="I42" i="80"/>
  <c r="I57" i="80"/>
  <c r="I64" i="80"/>
  <c r="I49" i="80"/>
  <c r="I33" i="80"/>
  <c r="I65" i="80"/>
  <c r="I63" i="80"/>
  <c r="I20" i="80"/>
  <c r="I8" i="80"/>
  <c r="I10" i="80"/>
  <c r="I88" i="80"/>
  <c r="I66" i="80"/>
  <c r="I30" i="80"/>
  <c r="I21" i="80"/>
  <c r="I75" i="80"/>
  <c r="I24" i="80"/>
  <c r="I61" i="80"/>
  <c r="I69" i="80"/>
  <c r="I73" i="80"/>
  <c r="I50" i="80"/>
  <c r="I104" i="80"/>
  <c r="I53" i="80"/>
  <c r="I100" i="80"/>
  <c r="I47" i="80"/>
  <c r="I91" i="80"/>
  <c r="I59" i="80"/>
  <c r="I28" i="80"/>
  <c r="I52" i="80"/>
  <c r="I76" i="80"/>
  <c r="I99" i="80"/>
  <c r="I58" i="80"/>
  <c r="I79" i="80"/>
  <c r="I90" i="80"/>
  <c r="I89" i="80"/>
  <c r="I93" i="80"/>
  <c r="I26" i="80"/>
  <c r="I6" i="80"/>
  <c r="I25" i="80"/>
  <c r="I85" i="80"/>
  <c r="I22" i="80"/>
  <c r="I44" i="80"/>
  <c r="I82" i="80"/>
  <c r="I34" i="80"/>
  <c r="I102" i="80"/>
  <c r="I67" i="80"/>
  <c r="I18" i="80"/>
  <c r="I60" i="80"/>
  <c r="I95" i="80"/>
  <c r="I87" i="80"/>
  <c r="I55" i="80"/>
  <c r="I36" i="80"/>
  <c r="I16" i="80"/>
  <c r="I14" i="80"/>
  <c r="I98" i="80"/>
  <c r="I74" i="80"/>
  <c r="I101" i="80"/>
  <c r="I92" i="80"/>
  <c r="I78" i="80"/>
  <c r="I62" i="80"/>
  <c r="I40" i="80"/>
  <c r="I54" i="80"/>
  <c r="I5" i="80"/>
  <c r="I31" i="80"/>
  <c r="I70" i="80"/>
  <c r="I84" i="80"/>
  <c r="I80" i="80"/>
  <c r="I83" i="80"/>
  <c r="I13" i="80"/>
  <c r="I68" i="80"/>
  <c r="I72" i="80"/>
  <c r="I3" i="80"/>
  <c r="I51" i="80"/>
  <c r="I35" i="80"/>
  <c r="I12" i="80"/>
  <c r="I11" i="80"/>
  <c r="O104" i="80"/>
  <c r="O75" i="80"/>
  <c r="O45" i="80"/>
  <c r="O36" i="80"/>
  <c r="O105" i="80"/>
  <c r="O96" i="80"/>
  <c r="O82" i="80"/>
  <c r="O23" i="80"/>
  <c r="O27" i="80"/>
  <c r="O35" i="80"/>
  <c r="O46" i="80"/>
  <c r="O101" i="80"/>
  <c r="O28" i="80"/>
  <c r="O68" i="80"/>
  <c r="O22" i="80"/>
  <c r="O44" i="80"/>
  <c r="O64" i="80"/>
  <c r="O17" i="80"/>
  <c r="O98" i="80"/>
  <c r="O6" i="80"/>
  <c r="O67" i="80"/>
  <c r="O79" i="80"/>
  <c r="O78" i="80"/>
  <c r="O10" i="80"/>
  <c r="O92" i="80"/>
  <c r="O100" i="80"/>
  <c r="O60" i="80"/>
  <c r="O70" i="80"/>
  <c r="O49" i="80"/>
  <c r="O29" i="80"/>
  <c r="O51" i="80"/>
  <c r="O25" i="80"/>
  <c r="O62" i="80"/>
  <c r="O97" i="80"/>
  <c r="O91" i="80"/>
  <c r="O43" i="80"/>
  <c r="O95" i="80"/>
  <c r="O84" i="80"/>
  <c r="O14" i="80"/>
  <c r="O31" i="80"/>
  <c r="O89" i="80"/>
  <c r="O72" i="80"/>
  <c r="O41" i="80"/>
  <c r="O54" i="80"/>
  <c r="O55" i="80"/>
  <c r="O38" i="80"/>
  <c r="O4" i="80"/>
  <c r="O39" i="80"/>
  <c r="O74" i="80"/>
  <c r="O5" i="80"/>
  <c r="O61" i="80"/>
  <c r="O90" i="80"/>
  <c r="O7" i="80"/>
  <c r="O42" i="80"/>
  <c r="O30" i="80"/>
  <c r="O3" i="80"/>
  <c r="O53" i="80"/>
  <c r="O85" i="80"/>
  <c r="O71" i="80"/>
  <c r="O103" i="80"/>
  <c r="O32" i="80"/>
  <c r="O66" i="80"/>
  <c r="O9" i="80"/>
  <c r="O19" i="80"/>
  <c r="O47" i="80"/>
  <c r="O81" i="80"/>
  <c r="O33" i="80"/>
  <c r="O50" i="80"/>
  <c r="O83" i="80"/>
  <c r="O102" i="80"/>
  <c r="O88" i="80"/>
  <c r="O58" i="80"/>
  <c r="O80" i="80"/>
  <c r="O21" i="80"/>
  <c r="O87" i="80"/>
  <c r="O16" i="80"/>
  <c r="O86" i="80"/>
  <c r="O57" i="80"/>
  <c r="O18" i="80"/>
  <c r="O40" i="80"/>
  <c r="O69" i="80"/>
  <c r="O93" i="80"/>
  <c r="O77" i="80"/>
  <c r="O15" i="80"/>
  <c r="O34" i="80"/>
  <c r="O63" i="80"/>
  <c r="O11" i="80"/>
  <c r="O12" i="80"/>
  <c r="O26" i="80"/>
  <c r="O94" i="80"/>
  <c r="O37" i="80"/>
  <c r="O52" i="80"/>
  <c r="O76" i="80"/>
  <c r="O59" i="80"/>
  <c r="O24" i="80"/>
  <c r="O99" i="80"/>
  <c r="O48" i="80"/>
  <c r="O13" i="80"/>
  <c r="O8" i="80"/>
  <c r="O20" i="80"/>
  <c r="O73" i="80"/>
  <c r="O65" i="80"/>
  <c r="O56" i="80"/>
  <c r="K16" i="80"/>
  <c r="K66" i="80"/>
  <c r="K41" i="80"/>
  <c r="K37" i="80"/>
  <c r="K86" i="80"/>
  <c r="K59" i="80"/>
  <c r="K38" i="80"/>
  <c r="K91" i="80"/>
  <c r="K49" i="80"/>
  <c r="K88" i="80"/>
  <c r="K72" i="80"/>
  <c r="K57" i="80"/>
  <c r="K42" i="80"/>
  <c r="K8" i="80"/>
  <c r="K35" i="80"/>
  <c r="K23" i="80"/>
  <c r="K48" i="80"/>
  <c r="K98" i="80"/>
  <c r="K78" i="80"/>
  <c r="K47" i="80"/>
  <c r="K93" i="80"/>
  <c r="K30" i="80"/>
  <c r="K56" i="80"/>
  <c r="K77" i="80"/>
  <c r="K85" i="80"/>
  <c r="K71" i="80"/>
  <c r="K61" i="80"/>
  <c r="K83" i="80"/>
  <c r="K81" i="80"/>
  <c r="K46" i="80"/>
  <c r="K97" i="80"/>
  <c r="K24" i="80"/>
  <c r="K10" i="80"/>
  <c r="K5" i="80"/>
  <c r="K12" i="80"/>
  <c r="K22" i="80"/>
  <c r="K34" i="80"/>
  <c r="K9" i="80"/>
  <c r="K84" i="80"/>
  <c r="K63" i="80"/>
  <c r="K80" i="80"/>
  <c r="K50" i="80"/>
  <c r="K94" i="80"/>
  <c r="K45" i="80"/>
  <c r="K68" i="80"/>
  <c r="K29" i="80"/>
  <c r="K44" i="80"/>
  <c r="K21" i="80"/>
  <c r="K4" i="80"/>
  <c r="K90" i="80"/>
  <c r="K75" i="80"/>
  <c r="K89" i="80"/>
  <c r="K3" i="80"/>
  <c r="K51" i="80"/>
  <c r="K43" i="80"/>
  <c r="K25" i="80"/>
  <c r="K20" i="80"/>
  <c r="K64" i="80"/>
  <c r="K6" i="80"/>
  <c r="K19" i="80"/>
  <c r="K32" i="80"/>
  <c r="K28" i="80"/>
  <c r="K39" i="80"/>
  <c r="K92" i="80"/>
  <c r="K96" i="80"/>
  <c r="K82" i="80"/>
  <c r="K11" i="80"/>
  <c r="K13" i="80"/>
  <c r="K40" i="80"/>
  <c r="K70" i="80"/>
  <c r="K105" i="80"/>
  <c r="K7" i="80"/>
  <c r="K27" i="80"/>
  <c r="K101" i="80"/>
  <c r="K79" i="80"/>
  <c r="K31" i="80"/>
  <c r="K87" i="80"/>
  <c r="K103" i="80"/>
  <c r="K18" i="80"/>
  <c r="K55" i="80"/>
  <c r="K36" i="80"/>
  <c r="K76" i="80"/>
  <c r="K15" i="80"/>
  <c r="K73" i="80"/>
  <c r="K102" i="80"/>
  <c r="K60" i="80"/>
  <c r="K104" i="80"/>
  <c r="K17" i="80"/>
  <c r="K62" i="80"/>
  <c r="K14" i="80"/>
  <c r="K58" i="80"/>
  <c r="K67" i="80"/>
  <c r="K69" i="80"/>
  <c r="K99" i="80"/>
  <c r="K33" i="80"/>
  <c r="K95" i="80"/>
  <c r="K100" i="80"/>
  <c r="K65" i="80"/>
  <c r="K53" i="80"/>
  <c r="K26" i="80"/>
  <c r="K52" i="80"/>
  <c r="K74" i="80"/>
  <c r="K54" i="80"/>
  <c r="G19" i="80"/>
  <c r="G7" i="80"/>
  <c r="G71" i="80"/>
  <c r="G6" i="80"/>
  <c r="G88" i="80"/>
  <c r="G72" i="80"/>
  <c r="G103" i="80"/>
  <c r="G94" i="80"/>
  <c r="G96" i="80"/>
  <c r="G40" i="80"/>
  <c r="G62" i="80"/>
  <c r="G67" i="80"/>
  <c r="G4" i="80"/>
  <c r="G85" i="80"/>
  <c r="G13" i="80"/>
  <c r="G25" i="80"/>
  <c r="G36" i="80"/>
  <c r="G86" i="80"/>
  <c r="G95" i="80"/>
  <c r="G100" i="80"/>
  <c r="G48" i="80"/>
  <c r="G32" i="80"/>
  <c r="G73" i="80"/>
  <c r="G70" i="80"/>
  <c r="G3" i="80"/>
  <c r="G75" i="80"/>
  <c r="G17" i="80"/>
  <c r="G18" i="80"/>
  <c r="G12" i="80"/>
  <c r="G15" i="80"/>
  <c r="G69" i="80"/>
  <c r="G104" i="80"/>
  <c r="G84" i="80"/>
  <c r="G35" i="80"/>
  <c r="G82" i="80"/>
  <c r="G28" i="80"/>
  <c r="G44" i="80"/>
  <c r="G11" i="80"/>
  <c r="G49" i="80"/>
  <c r="G53" i="80"/>
  <c r="G54" i="80"/>
  <c r="G92" i="80"/>
  <c r="G41" i="80"/>
  <c r="G99" i="80"/>
  <c r="G97" i="80"/>
  <c r="G79" i="80"/>
  <c r="G50" i="80"/>
  <c r="G21" i="80"/>
  <c r="G93" i="80"/>
  <c r="G80" i="80"/>
  <c r="G105" i="80"/>
  <c r="G87" i="80"/>
  <c r="G33" i="80"/>
  <c r="G101" i="80"/>
  <c r="G46" i="80"/>
  <c r="G24" i="80"/>
  <c r="G9" i="80"/>
  <c r="G43" i="80"/>
  <c r="G22" i="80"/>
  <c r="G64" i="80"/>
  <c r="G42" i="80"/>
  <c r="G89" i="80"/>
  <c r="G51" i="80"/>
  <c r="G39" i="80"/>
  <c r="G57" i="80"/>
  <c r="G76" i="80"/>
  <c r="G102" i="80"/>
  <c r="G58" i="80"/>
  <c r="G29" i="80"/>
  <c r="G26" i="80"/>
  <c r="G37" i="80"/>
  <c r="G77" i="80"/>
  <c r="G55" i="80"/>
  <c r="G61" i="80"/>
  <c r="G45" i="80"/>
  <c r="G66" i="80"/>
  <c r="G47" i="80"/>
  <c r="G56" i="80"/>
  <c r="G34" i="80"/>
  <c r="G16" i="80"/>
  <c r="G83" i="80"/>
  <c r="G63" i="80"/>
  <c r="G68" i="80"/>
  <c r="G8" i="80"/>
  <c r="G81" i="80"/>
  <c r="G30" i="80"/>
  <c r="G31" i="80"/>
  <c r="G20" i="80"/>
  <c r="G90" i="80"/>
  <c r="G59" i="80"/>
  <c r="G52" i="80"/>
  <c r="G91" i="80"/>
  <c r="G98" i="80"/>
  <c r="G10" i="80"/>
  <c r="G78" i="80"/>
  <c r="G60" i="80"/>
  <c r="G65" i="80"/>
  <c r="G14" i="80"/>
  <c r="G27" i="80"/>
  <c r="G23" i="80"/>
  <c r="G5" i="80"/>
  <c r="G38" i="80"/>
  <c r="G74" i="80"/>
  <c r="C11" i="80"/>
  <c r="C5" i="80"/>
  <c r="C82" i="80"/>
  <c r="C17" i="80"/>
  <c r="C53" i="80"/>
  <c r="C98" i="80"/>
  <c r="C83" i="80"/>
  <c r="C90" i="80"/>
  <c r="C34" i="80"/>
  <c r="C104" i="80"/>
  <c r="C4" i="80"/>
  <c r="C67" i="80"/>
  <c r="C25" i="80"/>
  <c r="C77" i="80"/>
  <c r="C31" i="80"/>
  <c r="C56" i="80"/>
  <c r="C51" i="80"/>
  <c r="C6" i="80"/>
  <c r="C13" i="80"/>
  <c r="C75" i="80"/>
  <c r="C96" i="80"/>
  <c r="C97" i="80"/>
  <c r="C54" i="80"/>
  <c r="C76" i="80"/>
  <c r="C95" i="80"/>
  <c r="C19" i="80"/>
  <c r="C89" i="80"/>
  <c r="C72" i="80"/>
  <c r="C93" i="80"/>
  <c r="C43" i="80"/>
  <c r="C30" i="80"/>
  <c r="C33" i="80"/>
  <c r="C47" i="80"/>
  <c r="C80" i="80"/>
  <c r="C81" i="80"/>
  <c r="C9" i="80"/>
  <c r="C26" i="80"/>
  <c r="C65" i="80"/>
  <c r="C84" i="80"/>
  <c r="C40" i="80"/>
  <c r="C63" i="80"/>
  <c r="C68" i="80"/>
  <c r="C12" i="80"/>
  <c r="C15" i="80"/>
  <c r="C44" i="80"/>
  <c r="C99" i="80"/>
  <c r="C66" i="80"/>
  <c r="C42" i="80"/>
  <c r="C28" i="80"/>
  <c r="C74" i="80"/>
  <c r="C39" i="80"/>
  <c r="C52" i="80"/>
  <c r="C101" i="80"/>
  <c r="C105" i="80"/>
  <c r="C64" i="80"/>
  <c r="C23" i="80"/>
  <c r="C73" i="80"/>
  <c r="C58" i="80"/>
  <c r="C79" i="80"/>
  <c r="C49" i="80"/>
  <c r="C3" i="80"/>
  <c r="C60" i="80"/>
  <c r="C71" i="80"/>
  <c r="C38" i="80"/>
  <c r="C18" i="80"/>
  <c r="C41" i="80"/>
  <c r="C14" i="80"/>
  <c r="C102" i="80"/>
  <c r="C87" i="80"/>
  <c r="C61" i="80"/>
  <c r="C70" i="80"/>
  <c r="C85" i="80"/>
  <c r="C22" i="80"/>
  <c r="C50" i="80"/>
  <c r="C20" i="80"/>
  <c r="C10" i="80"/>
  <c r="C103" i="80"/>
  <c r="C36" i="80"/>
  <c r="C32" i="80"/>
  <c r="C69" i="80"/>
  <c r="C8" i="80"/>
  <c r="C7" i="80"/>
  <c r="C46" i="80"/>
  <c r="C91" i="80"/>
  <c r="C86" i="80"/>
  <c r="C59" i="80"/>
  <c r="C78" i="80"/>
  <c r="C100" i="80"/>
  <c r="C92" i="80"/>
  <c r="C29" i="80"/>
  <c r="C57" i="80"/>
  <c r="C24" i="80"/>
  <c r="C35" i="80"/>
  <c r="C21" i="80"/>
  <c r="C45" i="80"/>
  <c r="C94" i="80"/>
  <c r="C48" i="80"/>
  <c r="C62" i="80"/>
  <c r="C55" i="80"/>
  <c r="C27" i="80"/>
  <c r="C88" i="80"/>
  <c r="C16" i="80"/>
  <c r="Q3" i="80"/>
  <c r="C37" i="80"/>
  <c r="S23" i="80"/>
  <c r="R58" i="80"/>
  <c r="S58" i="80"/>
  <c r="R79" i="80"/>
  <c r="S79" i="80"/>
  <c r="R92" i="80"/>
  <c r="S92" i="80"/>
  <c r="R83" i="80"/>
  <c r="S83" i="80"/>
  <c r="R87" i="80"/>
  <c r="S87" i="80"/>
  <c r="R60" i="80"/>
  <c r="S60" i="80"/>
  <c r="R4" i="80"/>
  <c r="S4" i="80"/>
  <c r="R84" i="80"/>
  <c r="S84" i="80"/>
  <c r="R101" i="80"/>
  <c r="S101" i="80"/>
  <c r="R13" i="80"/>
  <c r="S13" i="80"/>
  <c r="R78" i="80"/>
  <c r="S78" i="80"/>
  <c r="R97" i="80"/>
  <c r="S97" i="80"/>
  <c r="R45" i="80"/>
  <c r="S45" i="80"/>
  <c r="R53" i="80"/>
  <c r="S53" i="80"/>
  <c r="R32" i="80"/>
  <c r="S32" i="80"/>
  <c r="R90" i="80"/>
  <c r="S90" i="80"/>
  <c r="R94" i="80"/>
  <c r="S94" i="80"/>
  <c r="R6" i="80"/>
  <c r="S6" i="80"/>
  <c r="R100" i="80"/>
  <c r="S100" i="80"/>
  <c r="R39" i="80"/>
  <c r="S39" i="80"/>
  <c r="R88" i="80"/>
  <c r="S88" i="80"/>
  <c r="R18" i="80"/>
  <c r="S18" i="80"/>
  <c r="R46" i="80"/>
  <c r="S46" i="80"/>
  <c r="R24" i="80"/>
  <c r="S24" i="80"/>
  <c r="R64" i="80"/>
  <c r="S64" i="80"/>
  <c r="R12" i="80"/>
  <c r="S12" i="80"/>
  <c r="R104" i="80"/>
  <c r="S104" i="80"/>
  <c r="R30" i="80"/>
  <c r="S30" i="80"/>
  <c r="R55" i="80"/>
  <c r="S55" i="80"/>
  <c r="R11" i="80"/>
  <c r="S11" i="80"/>
  <c r="R3" i="80"/>
  <c r="S3" i="80"/>
  <c r="R15" i="80"/>
  <c r="S15" i="80"/>
  <c r="R51" i="80"/>
  <c r="S51" i="80"/>
  <c r="R8" i="80"/>
  <c r="S8" i="80"/>
  <c r="R95" i="80"/>
  <c r="S95" i="80"/>
  <c r="R28" i="80"/>
  <c r="S28" i="80"/>
  <c r="R21" i="80"/>
  <c r="S21" i="80"/>
  <c r="R74" i="80"/>
  <c r="S74" i="80"/>
  <c r="R17" i="80"/>
  <c r="S17" i="80"/>
  <c r="R86" i="80"/>
  <c r="S86" i="80"/>
  <c r="R76" i="80"/>
  <c r="S76" i="80"/>
  <c r="R25" i="80"/>
  <c r="S25" i="80"/>
  <c r="R66" i="80"/>
  <c r="S66" i="80"/>
  <c r="R93" i="80"/>
  <c r="S93" i="80"/>
  <c r="R16" i="80"/>
  <c r="S16" i="80"/>
  <c r="R37" i="80"/>
  <c r="S37" i="80"/>
  <c r="R52" i="80"/>
  <c r="S52" i="80"/>
  <c r="R26" i="80"/>
  <c r="S26" i="80"/>
  <c r="R40" i="80"/>
  <c r="S40" i="80"/>
  <c r="R36" i="80"/>
  <c r="S36" i="80"/>
  <c r="R85" i="80"/>
  <c r="S85" i="80"/>
  <c r="R49" i="80"/>
  <c r="S49" i="80"/>
  <c r="R99" i="80"/>
  <c r="S99" i="80"/>
  <c r="R31" i="80"/>
  <c r="S31" i="80"/>
  <c r="R48" i="80"/>
  <c r="S48" i="80"/>
  <c r="R96" i="80"/>
  <c r="S96" i="80"/>
  <c r="R50" i="80"/>
  <c r="S50" i="80"/>
  <c r="R77" i="80"/>
  <c r="S77" i="80"/>
  <c r="R43" i="80"/>
  <c r="S43" i="80"/>
  <c r="R105" i="80"/>
  <c r="S105" i="80"/>
  <c r="R63" i="80"/>
  <c r="S63" i="80"/>
  <c r="R19" i="80"/>
  <c r="S19" i="80"/>
  <c r="R10" i="80"/>
  <c r="S10" i="80"/>
  <c r="R38" i="80"/>
  <c r="S38" i="80"/>
  <c r="R75" i="80"/>
  <c r="S75" i="80"/>
  <c r="R20" i="80"/>
  <c r="S20" i="80"/>
  <c r="R7" i="80"/>
  <c r="S7" i="80"/>
  <c r="R103" i="80"/>
  <c r="S103" i="80"/>
  <c r="R44" i="80"/>
  <c r="S44" i="80"/>
  <c r="R22" i="80"/>
  <c r="S22" i="80"/>
  <c r="R35" i="80"/>
  <c r="S35" i="80"/>
  <c r="R81" i="80"/>
  <c r="S81" i="80"/>
  <c r="R57" i="80"/>
  <c r="S57" i="80"/>
  <c r="R34" i="80"/>
  <c r="S34" i="80"/>
  <c r="R54" i="80"/>
  <c r="S54" i="80"/>
  <c r="R42" i="80"/>
  <c r="S42" i="80"/>
  <c r="R27" i="80"/>
  <c r="S27" i="80"/>
  <c r="R65" i="80"/>
  <c r="S65" i="80"/>
  <c r="R61" i="80"/>
  <c r="S61" i="80"/>
  <c r="R91" i="80"/>
  <c r="S91" i="80"/>
  <c r="R59" i="80"/>
  <c r="S59" i="80"/>
  <c r="R9" i="80"/>
  <c r="S9" i="80"/>
  <c r="R70" i="80"/>
  <c r="S70" i="80"/>
  <c r="R5" i="80"/>
  <c r="S5" i="80"/>
  <c r="R69" i="80"/>
  <c r="S69" i="80"/>
  <c r="R29" i="80"/>
  <c r="S29" i="80"/>
  <c r="R80" i="80"/>
  <c r="S80" i="80"/>
  <c r="R102" i="80"/>
  <c r="S102" i="80"/>
  <c r="R82" i="80"/>
  <c r="S82" i="80"/>
  <c r="R14" i="80"/>
  <c r="S14" i="80"/>
  <c r="R71" i="80"/>
  <c r="S71" i="80"/>
  <c r="R73" i="80"/>
  <c r="S73" i="80"/>
  <c r="R67" i="80"/>
  <c r="S67" i="80"/>
  <c r="R56" i="80"/>
  <c r="S56" i="80"/>
  <c r="R98" i="80"/>
  <c r="S98" i="80"/>
  <c r="R62" i="80"/>
  <c r="S62" i="80"/>
  <c r="R33" i="80"/>
  <c r="S33" i="80"/>
  <c r="R47" i="80"/>
  <c r="S47" i="80"/>
  <c r="R68" i="80"/>
  <c r="S68" i="80"/>
  <c r="R72" i="80"/>
  <c r="S72" i="80"/>
  <c r="R89" i="80"/>
  <c r="S89" i="80"/>
  <c r="R23" i="80"/>
  <c r="R41" i="80"/>
  <c r="S4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<sst xmlns="http://schemas.openxmlformats.org/spreadsheetml/2006/main" count="9001" uniqueCount="3292">
  <si>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</si>
  <si>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</si>
  <si>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</si>
  <si>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</si>
  <si>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</si>
  <si>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</si>
  <si>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</si>
  <si>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</si>
  <si>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</si>
  <si>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</si>
  <si>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</si>
  <si>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</si>
  <si>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</si>
  <si>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</si>
  <si>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</si>
  <si>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</si>
  <si>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</si>
  <si>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</si>
  <si>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</si>
  <si>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</si>
  <si>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</si>
  <si>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</si>
  <si>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</si>
  <si>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</si>
  <si>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</si>
  <si>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</si>
  <si>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</si>
  <si>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</si>
  <si>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</si>
  <si>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</si>
  <si>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</si>
  <si>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</si>
  <si>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</si>
  <si>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</si>
  <si>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</si>
  <si>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</si>
  <si>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</si>
  <si>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</si>
  <si>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</si>
  <si>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</si>
  <si>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</si>
  <si>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</si>
  <si>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</si>
  <si>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</si>
  <si>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</si>
  <si>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</si>
  <si>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</si>
  <si>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</si>
  <si>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</si>
  <si>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</si>
  <si>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</si>
  <si>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</si>
  <si>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</si>
  <si>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</si>
  <si>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</si>
  <si>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</si>
  <si>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</si>
  <si>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</si>
  <si>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</si>
  <si>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</si>
  <si>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</si>
  <si>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</si>
  <si>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</si>
  <si>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</si>
  <si>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</si>
  <si>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</si>
  <si>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</si>
  <si>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</si>
  <si>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</si>
  <si>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</si>
  <si>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</si>
  <si>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</si>
  <si>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</si>
  <si>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</si>
  <si>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</si>
  <si>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</si>
  <si>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</si>
  <si>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</si>
  <si>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</si>
  <si>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</si>
  <si>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</si>
  <si>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</si>
  <si>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</si>
  <si>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</si>
  <si>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</si>
  <si>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</si>
  <si>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</si>
  <si>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</si>
  <si>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</si>
  <si>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</si>
  <si>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</si>
  <si>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</si>
  <si>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</si>
  <si>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</si>
  <si>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</si>
  <si>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</si>
  <si>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</si>
  <si>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</si>
  <si>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</si>
  <si>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</si>
  <si>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</si>
  <si>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</si>
  <si>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</si>
  <si>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</si>
  <si>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</si>
  <si>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</si>
  <si>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</si>
  <si>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</si>
  <si>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</si>
  <si>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</si>
  <si>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</si>
  <si>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</si>
  <si>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</si>
  <si>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</si>
  <si>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</si>
  <si>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</si>
  <si>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</si>
  <si>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</si>
  <si>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</si>
  <si>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</si>
  <si>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</si>
  <si>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</si>
  <si>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</si>
  <si>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</si>
  <si>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</si>
  <si>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</si>
  <si>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</si>
  <si>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</si>
  <si>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</si>
  <si>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</si>
  <si>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</si>
  <si>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</si>
  <si>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</si>
  <si>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</si>
  <si>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</si>
  <si>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</si>
  <si>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</si>
  <si>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</si>
  <si>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</si>
  <si>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</si>
  <si>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</si>
  <si>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</si>
  <si>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</si>
  <si>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</si>
  <si>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</si>
  <si>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</si>
  <si>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</si>
  <si>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</si>
  <si>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</si>
  <si>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</si>
  <si>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</si>
  <si>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</si>
  <si>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</si>
  <si>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</si>
  <si>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</si>
  <si>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</si>
  <si>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</si>
  <si>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</si>
  <si>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</si>
  <si>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</si>
  <si>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</si>
  <si>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</si>
  <si>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</si>
  <si>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</si>
  <si>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</si>
  <si>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</si>
  <si>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</si>
  <si>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</si>
  <si>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</si>
  <si>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</si>
  <si>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</si>
  <si>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</si>
  <si>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</si>
  <si>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</si>
  <si>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</si>
  <si>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</si>
  <si>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</si>
  <si>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</si>
  <si>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</si>
  <si>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</si>
  <si>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</si>
  <si>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</si>
  <si>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</si>
  <si>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</si>
  <si>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</si>
  <si>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</si>
  <si>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</si>
  <si>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</si>
  <si>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</si>
  <si>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</si>
  <si>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</si>
  <si>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</si>
  <si>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</si>
  <si>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</si>
  <si>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</si>
  <si>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</si>
  <si>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</si>
  <si>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</si>
  <si>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</si>
  <si>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</si>
  <si>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</si>
  <si>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</si>
  <si>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</si>
  <si>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</si>
  <si>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</si>
  <si>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</si>
  <si>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</si>
  <si>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</si>
  <si>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</si>
  <si>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</si>
  <si>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</si>
  <si>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</si>
  <si>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</si>
  <si>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</si>
  <si>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</si>
  <si>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</si>
  <si>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</si>
  <si>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</si>
  <si>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</si>
  <si>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</si>
  <si>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</si>
  <si>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</si>
  <si>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</si>
  <si>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</si>
  <si>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</si>
  <si>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</si>
  <si>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</si>
  <si>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</si>
  <si>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</si>
  <si>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</si>
  <si>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</si>
  <si>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</si>
  <si>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</si>
  <si>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</si>
  <si>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</si>
  <si>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</si>
  <si>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</si>
  <si>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</si>
  <si>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</si>
  <si>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</si>
  <si>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</si>
  <si>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</si>
  <si>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</si>
  <si>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</si>
  <si>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</si>
  <si>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</si>
  <si>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</si>
  <si>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</si>
  <si>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</si>
  <si>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</si>
  <si>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</si>
  <si>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</si>
  <si>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</si>
  <si>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</si>
  <si>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</si>
  <si>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</si>
  <si>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</si>
  <si>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</si>
  <si>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</si>
  <si>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</si>
  <si>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</si>
  <si>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</si>
  <si>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</si>
  <si>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</si>
  <si>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</si>
  <si>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</si>
  <si>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</si>
  <si>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</si>
  <si>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</si>
  <si>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</si>
  <si>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</si>
  <si>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</si>
  <si>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</si>
  <si>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</si>
  <si>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</si>
  <si>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</si>
  <si>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</si>
  <si>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</si>
  <si>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</si>
  <si>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</si>
  <si>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</si>
  <si>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</si>
  <si>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</si>
  <si>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</si>
  <si>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</si>
  <si>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</si>
  <si>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</si>
  <si>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</si>
  <si>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</si>
  <si>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</si>
  <si>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</si>
  <si>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</si>
  <si>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</si>
  <si>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</si>
  <si>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</si>
  <si>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</si>
  <si>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</si>
  <si>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</si>
  <si>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</si>
  <si>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</si>
  <si>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</si>
  <si>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</si>
  <si>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</si>
  <si>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</si>
  <si>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</si>
  <si>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</si>
  <si>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</si>
  <si>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</si>
  <si>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</si>
  <si>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</si>
  <si>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</si>
  <si>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</si>
  <si>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</si>
  <si>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</si>
  <si>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</si>
  <si>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</si>
  <si>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</si>
  <si>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</si>
  <si>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</si>
  <si>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</si>
  <si>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</si>
  <si>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</si>
  <si>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</si>
  <si>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</si>
  <si>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</si>
  <si>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</si>
  <si>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</si>
  <si>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</si>
  <si>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</si>
  <si>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</si>
  <si>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</si>
  <si>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</si>
  <si>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</si>
  <si>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</si>
  <si>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</si>
  <si>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</si>
  <si>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</si>
  <si>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</si>
  <si>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</si>
  <si>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</si>
  <si>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</si>
  <si>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</si>
  <si>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</si>
  <si>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</si>
  <si>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</si>
  <si>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</si>
  <si>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</si>
  <si>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</si>
  <si>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</si>
  <si>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</si>
  <si>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</si>
  <si>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</si>
  <si>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</si>
  <si>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</si>
  <si>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</si>
  <si>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</si>
  <si>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</si>
  <si>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</si>
  <si>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</si>
  <si>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</si>
  <si>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</si>
  <si>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</si>
  <si>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</si>
  <si>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</si>
  <si>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</si>
  <si>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</si>
  <si>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</si>
  <si>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</si>
  <si>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</si>
  <si>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</si>
  <si>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</si>
  <si>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</si>
  <si>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</si>
  <si>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</si>
  <si>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</si>
  <si>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</si>
  <si>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</si>
  <si>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</si>
  <si>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</si>
  <si>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</si>
  <si>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</si>
  <si>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</si>
  <si>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</si>
  <si>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</si>
  <si>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</si>
  <si>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</si>
  <si>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</si>
  <si>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</si>
  <si>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</si>
  <si>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</si>
  <si>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</si>
  <si>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</si>
  <si>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</si>
  <si>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</si>
  <si>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</si>
  <si>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</si>
  <si>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</si>
  <si>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</si>
  <si>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</si>
  <si>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</si>
  <si>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</si>
  <si>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</si>
  <si>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</si>
  <si>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</si>
  <si>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</si>
  <si>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</si>
  <si>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</si>
  <si>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</si>
  <si>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</si>
  <si>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</si>
  <si>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</si>
  <si>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</si>
  <si>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</si>
  <si>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</si>
  <si>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</si>
  <si>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</si>
  <si>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</si>
  <si>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</si>
  <si>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</si>
  <si>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</si>
  <si>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</si>
  <si>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</si>
  <si>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</si>
  <si>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</si>
  <si>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</si>
  <si>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</si>
  <si>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</si>
  <si>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</si>
  <si>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</si>
  <si>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</si>
  <si>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</si>
  <si>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</si>
  <si>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</si>
  <si>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</si>
  <si>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</si>
  <si>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</si>
  <si>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</si>
  <si>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</si>
  <si>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</si>
  <si>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</si>
  <si>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</si>
  <si>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</si>
  <si>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</si>
  <si>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</si>
  <si>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</si>
  <si>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</si>
  <si>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</si>
  <si>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</si>
  <si>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</si>
  <si>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</si>
  <si>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</si>
  <si>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</si>
  <si>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</si>
  <si>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</si>
  <si>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</si>
  <si>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</si>
  <si>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</si>
  <si>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</si>
  <si>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</si>
  <si>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</si>
  <si>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</si>
  <si>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</si>
  <si>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</si>
  <si>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</si>
  <si>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</si>
  <si>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</si>
  <si>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</si>
  <si>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</si>
  <si>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</si>
  <si>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</si>
  <si>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</si>
  <si>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</si>
  <si>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</si>
  <si>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</si>
  <si>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</si>
  <si>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</si>
  <si>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</si>
  <si>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</si>
  <si>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</si>
  <si>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</si>
  <si>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</si>
  <si>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</si>
  <si>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</si>
  <si>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</si>
  <si>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</si>
  <si>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</si>
  <si>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</si>
  <si>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</si>
  <si>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</si>
  <si>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</si>
  <si>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</si>
  <si>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</si>
  <si>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</si>
  <si>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</si>
  <si>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</si>
  <si>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</si>
  <si>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</si>
  <si>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</si>
  <si>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</si>
  <si>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</si>
  <si>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</si>
  <si>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</si>
  <si>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</si>
  <si>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</si>
  <si>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</si>
  <si>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</si>
  <si>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</si>
  <si>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</si>
  <si>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</si>
  <si>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</si>
  <si>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</si>
  <si>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</si>
  <si>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</si>
  <si>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</si>
  <si>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</si>
  <si>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</si>
  <si>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</si>
  <si>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</si>
  <si>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</si>
  <si>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</si>
  <si>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</si>
  <si>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</si>
  <si>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</si>
  <si>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</si>
  <si>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</si>
  <si>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</si>
  <si>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</si>
  <si>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</si>
  <si>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</si>
  <si>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</si>
  <si>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</si>
  <si>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</si>
  <si>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</si>
  <si>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</si>
  <si>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</si>
  <si>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</si>
  <si>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</si>
  <si>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</si>
  <si>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</si>
  <si>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</si>
  <si>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</si>
  <si>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</si>
  <si>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</si>
  <si>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</si>
  <si>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</si>
  <si>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</si>
  <si>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</si>
  <si>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</si>
  <si>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</si>
  <si>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</si>
  <si>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</si>
  <si>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</si>
  <si>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</si>
  <si>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</si>
  <si>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</si>
  <si>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</si>
  <si>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</si>
  <si>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</si>
  <si>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</si>
  <si>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</si>
  <si>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</si>
  <si>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</si>
  <si>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</si>
  <si>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</si>
  <si>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</si>
  <si>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</si>
  <si>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</si>
  <si>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</si>
  <si>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</si>
  <si>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</si>
  <si>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</si>
  <si>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</si>
  <si>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</si>
  <si>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</si>
  <si>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</si>
  <si>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</si>
  <si>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</si>
  <si>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</si>
  <si>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</si>
  <si>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</si>
  <si>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</si>
  <si>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</si>
  <si>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</si>
  <si>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</si>
  <si>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</si>
  <si>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</si>
  <si>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</si>
  <si>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</si>
  <si>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</si>
  <si>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</si>
  <si>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</si>
  <si>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</si>
  <si>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</si>
  <si>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</si>
  <si>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</si>
  <si>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</si>
  <si>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</si>
  <si>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</si>
  <si>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</si>
  <si>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</si>
  <si>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</si>
  <si>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</si>
  <si>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</si>
  <si>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</si>
  <si>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</si>
  <si>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</si>
  <si>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</si>
  <si>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</si>
  <si>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</si>
  <si>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</si>
  <si>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</si>
  <si>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</si>
  <si>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</si>
  <si>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</si>
  <si>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</si>
  <si>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</si>
  <si>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</si>
  <si>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</si>
  <si>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</si>
  <si>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</si>
  <si>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</si>
  <si>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</si>
  <si>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</si>
  <si>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</si>
  <si>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</si>
  <si>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</si>
  <si>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</si>
  <si>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</si>
  <si>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</si>
  <si>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</si>
  <si>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</si>
  <si>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</si>
  <si>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</si>
  <si>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</si>
  <si>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</si>
  <si>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</si>
  <si>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</si>
  <si>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</si>
  <si>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</si>
  <si>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</si>
  <si>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</si>
  <si>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</si>
  <si>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</si>
  <si>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</si>
  <si>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</si>
  <si>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</si>
  <si>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</si>
  <si>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</si>
  <si>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</si>
  <si>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</si>
  <si>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</si>
  <si>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</si>
  <si>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</si>
  <si>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</si>
  <si>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</si>
  <si>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</si>
  <si>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</si>
  <si>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</si>
  <si>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</si>
  <si>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</si>
  <si>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</si>
  <si>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</si>
  <si>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</si>
  <si>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</si>
  <si>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</si>
  <si>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</si>
  <si>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</si>
  <si>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</si>
  <si>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</si>
  <si>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</si>
  <si>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</si>
  <si>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</si>
  <si>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</si>
  <si>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</si>
  <si>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</si>
  <si>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</si>
  <si>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</si>
  <si>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</si>
  <si>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</si>
  <si>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</si>
  <si>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</si>
  <si>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</si>
  <si>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</si>
  <si>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</si>
  <si>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</si>
  <si>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</si>
  <si>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</si>
  <si>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</si>
  <si>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</si>
  <si>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</si>
  <si>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</si>
  <si>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</si>
  <si>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</si>
  <si>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</si>
  <si>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</si>
  <si>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</si>
  <si>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</si>
  <si>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</si>
  <si>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</si>
  <si>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</si>
  <si>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</si>
  <si>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</si>
  <si>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</si>
  <si>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</si>
  <si>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</si>
  <si>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</si>
  <si>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</si>
  <si>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</si>
  <si>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</si>
  <si>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</si>
  <si>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</si>
  <si>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</si>
  <si>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</si>
  <si>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</si>
  <si>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</si>
  <si>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</si>
  <si>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</si>
  <si>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</si>
  <si>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</si>
  <si>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</si>
  <si>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</si>
  <si>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</si>
  <si>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</si>
  <si>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</si>
  <si>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</si>
  <si>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</si>
  <si>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</si>
  <si>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</si>
  <si>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</si>
  <si>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</si>
  <si>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</si>
  <si>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</si>
  <si>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</si>
  <si>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</si>
  <si>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</si>
  <si>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</si>
  <si>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</si>
  <si>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</si>
  <si>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</si>
  <si>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</si>
  <si>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</si>
  <si>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</si>
  <si>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</si>
  <si>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</si>
  <si>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</si>
  <si>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</si>
  <si>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</si>
  <si>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</si>
  <si>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</si>
  <si>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</si>
  <si>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</si>
  <si>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</si>
  <si>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</si>
  <si>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</si>
  <si>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</si>
  <si>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</si>
  <si>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</si>
  <si>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</si>
  <si>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</si>
  <si>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</si>
  <si>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</si>
  <si>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</si>
  <si>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</si>
  <si>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</si>
  <si>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</si>
  <si>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</si>
  <si>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</si>
  <si>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</si>
  <si>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</si>
  <si>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</si>
  <si>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</si>
  <si>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</si>
  <si>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</si>
  <si>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</si>
  <si>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</si>
  <si>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</si>
  <si>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</si>
  <si>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</si>
  <si>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</si>
  <si>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</si>
  <si>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</si>
  <si>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</si>
  <si>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</si>
  <si>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</si>
  <si>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</si>
  <si>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</si>
  <si>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</si>
  <si>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</si>
  <si>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</si>
  <si>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</si>
  <si>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</si>
  <si>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</si>
  <si>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</si>
  <si>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</si>
  <si>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</si>
  <si>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</si>
  <si>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</si>
  <si>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</si>
  <si>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</si>
  <si>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</si>
  <si>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</si>
  <si>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</si>
  <si>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</si>
  <si>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</si>
  <si>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</si>
  <si>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</si>
  <si>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</si>
  <si>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</si>
  <si>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</si>
  <si>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</si>
  <si>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</si>
  <si>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</si>
  <si>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</si>
  <si>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</si>
  <si>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</si>
  <si>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</si>
  <si>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</si>
  <si>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</si>
  <si>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</si>
  <si>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</si>
  <si>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</si>
  <si>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</si>
  <si>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</si>
  <si>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</si>
  <si>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</si>
  <si>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</si>
  <si>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</si>
  <si>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</si>
  <si>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</si>
  <si>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</si>
  <si>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</si>
  <si>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</si>
  <si>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</si>
  <si>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</si>
  <si>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</si>
  <si>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</si>
  <si>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</si>
  <si>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</si>
  <si>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</si>
  <si>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</si>
  <si>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</si>
  <si>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</si>
  <si>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</si>
  <si>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</si>
  <si>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</si>
  <si>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</si>
  <si>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</si>
  <si>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</si>
  <si>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</si>
  <si>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</si>
  <si>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</si>
  <si>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</si>
  <si>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</si>
  <si>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</si>
  <si>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</si>
  <si>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</si>
  <si>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</si>
  <si>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</si>
  <si>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</si>
  <si>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</si>
  <si>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</si>
  <si>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</si>
  <si>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</si>
  <si>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</si>
  <si>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</si>
  <si>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</si>
  <si>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</si>
  <si>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</si>
  <si>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</si>
  <si>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</si>
  <si>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</si>
  <si>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</si>
  <si>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</si>
  <si>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</si>
  <si>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</si>
  <si>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</si>
  <si>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</si>
  <si>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</si>
  <si>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</si>
  <si>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</si>
  <si>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</si>
  <si>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</si>
  <si>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</si>
  <si>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</si>
  <si>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</si>
  <si>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</si>
  <si>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</si>
  <si>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</si>
  <si>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</si>
  <si>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</si>
  <si>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</si>
  <si>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</si>
  <si>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</si>
  <si>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</si>
  <si>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</si>
  <si>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</si>
  <si>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</si>
  <si>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</si>
  <si>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</si>
  <si>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</si>
  <si>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</si>
  <si>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</si>
  <si>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</si>
  <si>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</si>
  <si>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</si>
  <si>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</si>
  <si>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</si>
  <si>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</si>
  <si>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</si>
  <si>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</si>
  <si>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</si>
  <si>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</si>
  <si>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</si>
  <si>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</si>
  <si>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</si>
  <si>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</si>
  <si>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</si>
  <si>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</si>
  <si>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</si>
  <si>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</si>
  <si>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</si>
  <si>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</si>
  <si>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</si>
  <si>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</si>
  <si>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</si>
  <si>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</si>
  <si>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</si>
  <si>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</si>
  <si>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</si>
  <si>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</si>
  <si>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</si>
  <si>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</si>
  <si>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</si>
  <si>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</si>
  <si>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</si>
  <si>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</si>
  <si>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</si>
  <si>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</si>
  <si>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</si>
  <si>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</si>
  <si>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</si>
  <si>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</si>
  <si>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</si>
  <si>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</si>
  <si>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</si>
  <si>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</si>
  <si>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</si>
  <si>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</si>
  <si>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</si>
  <si>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</si>
  <si>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</si>
  <si>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</si>
  <si>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</si>
  <si>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</si>
  <si>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</si>
  <si>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</si>
  <si>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</si>
  <si>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</si>
  <si>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</si>
  <si>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</si>
  <si>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</si>
  <si>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</si>
  <si>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</si>
  <si>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</si>
  <si>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</si>
  <si>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</si>
  <si>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</si>
  <si>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</si>
  <si>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</si>
  <si>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</si>
  <si>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</si>
  <si>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</si>
  <si>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</si>
  <si>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</si>
  <si>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</si>
  <si>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</si>
  <si>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</si>
  <si>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</si>
  <si>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</si>
  <si>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</si>
  <si>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</si>
  <si>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</si>
  <si>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</si>
  <si>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</si>
  <si>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</si>
  <si>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</si>
  <si>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</si>
  <si>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</si>
  <si>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</si>
  <si>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</si>
  <si>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</si>
  <si>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</si>
  <si>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</si>
  <si>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</si>
  <si>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</si>
  <si>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</si>
  <si>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</si>
  <si>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</si>
  <si>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</si>
  <si>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</si>
  <si>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</si>
  <si>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</si>
  <si>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</si>
  <si>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</si>
  <si>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</si>
  <si>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</si>
  <si>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</si>
  <si>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</si>
  <si>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</si>
  <si>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</si>
  <si>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</si>
  <si>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</si>
  <si>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</si>
  <si>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</si>
  <si>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</si>
  <si>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</si>
  <si>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</si>
  <si>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</si>
  <si>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</si>
  <si>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</si>
  <si>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</si>
  <si>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</si>
  <si>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</si>
  <si>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</si>
  <si>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</si>
  <si>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</si>
  <si>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</si>
  <si>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</si>
  <si>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</si>
  <si>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</si>
  <si>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</si>
  <si>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</si>
  <si>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</si>
  <si>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</si>
  <si>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</si>
  <si>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</si>
  <si>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</si>
  <si>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</si>
  <si>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</si>
  <si>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</si>
  <si>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</si>
  <si>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</si>
  <si>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</si>
  <si>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</si>
  <si>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</si>
  <si>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</si>
  <si>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</si>
  <si>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</si>
  <si>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</si>
  <si>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</si>
  <si>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</si>
  <si>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</si>
  <si>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</si>
  <si>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</si>
  <si>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</si>
  <si>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</si>
  <si>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</si>
  <si>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</si>
  <si>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</si>
  <si>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</si>
  <si>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</si>
  <si>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</si>
  <si>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</si>
  <si>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</si>
  <si>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</si>
  <si>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</si>
  <si>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</si>
  <si>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</si>
  <si>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</si>
  <si>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</si>
  <si>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</si>
  <si>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</si>
  <si>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</si>
  <si>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</si>
  <si>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</si>
  <si>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</si>
  <si>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</si>
  <si>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</si>
  <si>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</si>
  <si>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</si>
  <si>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</si>
  <si>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</si>
  <si>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</si>
  <si>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</si>
  <si>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</si>
  <si>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</si>
  <si>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</si>
  <si>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</si>
  <si>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</si>
  <si>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</si>
  <si>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</si>
  <si>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</si>
  <si>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</si>
  <si>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</si>
  <si>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</si>
  <si>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</si>
  <si>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</si>
  <si>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</si>
  <si>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</si>
  <si>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</si>
  <si>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</si>
  <si>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</si>
  <si>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</si>
  <si>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</si>
  <si>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</si>
  <si>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</si>
  <si>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</si>
  <si>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</si>
  <si>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</si>
  <si>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</si>
  <si>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</si>
  <si>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</si>
  <si>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</si>
  <si>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</si>
  <si>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</si>
  <si>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</si>
  <si>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</si>
  <si>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</si>
  <si>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</si>
  <si>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</si>
  <si>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</si>
  <si>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</si>
  <si>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</si>
  <si>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</si>
  <si>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</si>
  <si>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</si>
  <si>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</si>
  <si>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</si>
  <si>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</si>
  <si>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</si>
  <si>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</si>
  <si>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</si>
  <si>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</si>
  <si>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</si>
  <si>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</si>
  <si>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</si>
  <si>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</si>
  <si>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</si>
  <si>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</si>
  <si>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</si>
  <si>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</si>
  <si>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</si>
  <si>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</si>
  <si>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</si>
  <si>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</si>
  <si>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</si>
  <si>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</si>
  <si>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</si>
  <si>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</si>
  <si>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</si>
  <si>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</si>
  <si>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</si>
  <si>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</si>
  <si>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</si>
  <si>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</si>
  <si>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</si>
  <si>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</si>
  <si>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</si>
  <si>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</si>
  <si>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</si>
  <si>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</si>
  <si>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</si>
  <si>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</si>
  <si>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</si>
  <si>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</si>
  <si>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</si>
  <si>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</si>
  <si>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</si>
  <si>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</si>
  <si>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</si>
  <si>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</si>
  <si>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</si>
  <si>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</si>
  <si>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</si>
  <si>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</si>
  <si>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</si>
  <si>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</si>
  <si>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</si>
  <si>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</si>
  <si>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</si>
  <si>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</si>
  <si>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</si>
  <si>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</si>
  <si>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</si>
  <si>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</si>
  <si>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</si>
  <si>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</si>
  <si>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</si>
  <si>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</si>
  <si>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</si>
  <si>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</si>
  <si>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</si>
  <si>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</si>
  <si>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</si>
  <si>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</si>
  <si>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</si>
  <si>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</si>
  <si>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</si>
  <si>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</si>
  <si>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</si>
  <si>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</si>
  <si>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</si>
  <si>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</si>
  <si>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</si>
  <si>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</si>
  <si>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</si>
  <si>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</si>
  <si>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</si>
  <si>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</si>
  <si>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</si>
  <si>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</si>
  <si>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</si>
  <si>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</si>
  <si>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</si>
  <si>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</si>
  <si>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</si>
  <si>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</si>
  <si>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</si>
  <si>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</si>
  <si>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</si>
  <si>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</si>
  <si>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</si>
  <si>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</si>
  <si>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</si>
  <si>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</si>
  <si>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</si>
  <si>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</si>
  <si>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</si>
  <si>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</si>
  <si>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</si>
  <si>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</si>
  <si>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</si>
  <si>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</si>
  <si>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</si>
  <si>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</si>
  <si>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</si>
  <si>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</si>
  <si>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</si>
  <si>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</si>
  <si>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</si>
  <si>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</si>
  <si>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</si>
  <si>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</si>
  <si>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</si>
  <si>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</si>
  <si>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</si>
  <si>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</si>
  <si>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</si>
  <si>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</si>
  <si>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</si>
  <si>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</si>
  <si>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</si>
  <si>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</si>
  <si>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</si>
  <si>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</si>
  <si>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</si>
  <si>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</si>
  <si>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</si>
  <si>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</si>
  <si>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</si>
  <si>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</si>
  <si>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</si>
  <si>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</si>
  <si>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</si>
  <si>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</si>
  <si>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</si>
  <si>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</si>
  <si>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</si>
  <si>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</si>
  <si>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</si>
  <si>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</si>
  <si>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</si>
  <si>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</si>
  <si>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</si>
  <si>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</si>
  <si>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</si>
  <si>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</si>
  <si>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</si>
  <si>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</si>
  <si>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</si>
  <si>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</si>
  <si>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</si>
  <si>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</si>
  <si>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</si>
  <si>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</si>
  <si>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</si>
  <si>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</si>
  <si>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</si>
  <si>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</si>
  <si>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</si>
  <si>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</si>
  <si>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</si>
  <si>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</si>
  <si>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</si>
  <si>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</si>
  <si>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</si>
  <si>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</si>
  <si>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</si>
  <si>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</si>
  <si>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</si>
  <si>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</si>
  <si>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</si>
  <si>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</si>
  <si>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</si>
  <si>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</si>
  <si>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</si>
  <si>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</si>
  <si>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</si>
  <si>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</si>
  <si>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</si>
  <si>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</si>
  <si>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</si>
  <si>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</si>
  <si>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</si>
  <si>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</si>
  <si>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</si>
  <si>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</si>
  <si>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</si>
  <si>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</si>
  <si>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</si>
  <si>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</si>
  <si>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</si>
  <si>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</si>
  <si>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</si>
  <si>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</si>
  <si>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</si>
  <si>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</si>
  <si>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</si>
  <si>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</si>
  <si>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</si>
  <si>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</si>
  <si>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</si>
  <si>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</si>
  <si>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</si>
  <si>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</si>
  <si>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</si>
  <si>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</si>
  <si>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</si>
  <si>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</si>
  <si>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</si>
  <si>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</si>
  <si>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</si>
  <si>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</si>
  <si>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</si>
  <si>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</si>
  <si>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</si>
  <si>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</si>
  <si>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</si>
  <si>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</si>
  <si>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</si>
  <si>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</si>
  <si>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</si>
  <si>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</si>
  <si>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</si>
  <si>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</si>
  <si>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</si>
  <si>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</si>
  <si>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</si>
  <si>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</si>
  <si>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</si>
  <si>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</si>
  <si>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</si>
  <si>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</si>
  <si>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</si>
  <si>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</si>
  <si>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</si>
  <si>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</si>
  <si>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</si>
  <si>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</si>
  <si>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</si>
  <si>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</si>
  <si>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</si>
  <si>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</si>
  <si>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</si>
  <si>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</si>
  <si>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</si>
  <si>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</si>
  <si>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</si>
  <si>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</si>
  <si>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</si>
  <si>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</si>
  <si>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</si>
  <si>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</si>
  <si>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</si>
  <si>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</si>
  <si>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</si>
  <si>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</si>
  <si>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</si>
  <si>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</si>
  <si>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</si>
  <si>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</si>
  <si>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</si>
  <si>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</si>
  <si>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</si>
  <si>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</si>
  <si>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</si>
  <si>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</si>
  <si>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</si>
  <si>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</si>
  <si>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</si>
  <si>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</si>
  <si>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</si>
  <si>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</si>
  <si>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</si>
  <si>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</si>
  <si>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</si>
  <si>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</si>
  <si>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</si>
  <si>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</si>
  <si>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</si>
  <si>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</si>
  <si>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</si>
  <si>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</si>
  <si>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</si>
  <si>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</si>
  <si>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</si>
  <si>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</si>
  <si>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</si>
  <si>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</si>
  <si>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</si>
  <si>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</si>
  <si>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</si>
  <si>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</si>
  <si>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</si>
  <si>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</si>
  <si>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</si>
  <si>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</si>
  <si>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</si>
  <si>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</si>
  <si>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</si>
  <si>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</si>
  <si>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</si>
  <si>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</si>
  <si>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</si>
  <si>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</si>
  <si>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</si>
  <si>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</si>
  <si>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</si>
  <si>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</si>
  <si>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</si>
  <si>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</si>
  <si>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</si>
  <si>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</si>
  <si>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</si>
  <si>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</si>
  <si>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</si>
  <si>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</si>
  <si>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</si>
  <si>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</si>
  <si>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</si>
  <si>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</si>
  <si>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</si>
  <si>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</si>
  <si>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</si>
  <si>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</si>
  <si>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</si>
  <si>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</si>
  <si>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</si>
  <si>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</si>
  <si>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</si>
  <si>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</si>
  <si>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</si>
  <si>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</si>
  <si>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</si>
  <si>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</si>
  <si>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</si>
  <si>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</si>
  <si>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</si>
  <si>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</si>
  <si>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</si>
  <si>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</si>
  <si>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</si>
  <si>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</si>
  <si>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</si>
  <si>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</si>
  <si>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</si>
  <si>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</si>
  <si>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</si>
  <si>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</si>
  <si>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</si>
  <si>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</si>
  <si>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</si>
  <si>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</si>
  <si>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</si>
  <si>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</si>
  <si>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</si>
  <si>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</si>
  <si>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</si>
  <si>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</si>
  <si>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</si>
  <si>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</si>
  <si>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</si>
  <si>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</si>
  <si>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</si>
  <si>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</si>
  <si>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</si>
  <si>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</si>
  <si>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</si>
  <si>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</si>
  <si>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</si>
  <si>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</si>
  <si>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</si>
  <si>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</si>
  <si>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</si>
  <si>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</si>
  <si>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</si>
  <si>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</si>
  <si>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</si>
  <si>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</si>
  <si>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</si>
  <si>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</si>
  <si>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</si>
  <si>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</si>
  <si>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</si>
  <si>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</si>
  <si>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</si>
  <si>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</si>
  <si>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</si>
  <si>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</si>
  <si>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</si>
  <si>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</si>
  <si>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</si>
  <si>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</si>
  <si>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</si>
  <si>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</si>
  <si>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</si>
  <si>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</si>
  <si>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</si>
  <si>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</si>
  <si>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</si>
  <si>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</si>
  <si>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</si>
  <si>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</si>
  <si>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</si>
  <si>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</si>
  <si>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</si>
  <si>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</si>
  <si>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</si>
  <si>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</si>
  <si>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</si>
  <si>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</si>
  <si>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</si>
  <si>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</si>
  <si>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</si>
  <si>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</si>
  <si>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</si>
  <si>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</si>
  <si>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</si>
  <si>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</si>
  <si>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</si>
  <si>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</si>
  <si>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</si>
  <si>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</si>
  <si>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</si>
  <si>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</si>
  <si>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</si>
  <si>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</si>
  <si>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</si>
  <si>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</si>
  <si>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</si>
  <si>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</si>
  <si>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</si>
  <si>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</si>
  <si>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</si>
  <si>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</si>
  <si>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</si>
  <si>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</si>
  <si>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</si>
  <si>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</si>
  <si>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</si>
  <si>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</si>
  <si>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</si>
  <si>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</si>
  <si>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</si>
  <si>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</si>
  <si>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</si>
  <si>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</si>
  <si>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</si>
  <si>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</si>
  <si>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</si>
  <si>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</si>
  <si>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</si>
  <si>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</si>
  <si>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</si>
  <si>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</si>
  <si>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</si>
  <si>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</si>
  <si>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</si>
  <si>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</si>
  <si>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</si>
  <si>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</si>
  <si>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</si>
  <si>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</si>
  <si>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</si>
  <si>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</si>
  <si>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</si>
  <si>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</si>
  <si>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</si>
  <si>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</si>
  <si>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</si>
  <si>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</si>
  <si>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</si>
  <si>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</si>
  <si>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</si>
  <si>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</si>
  <si>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</si>
  <si>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</si>
  <si>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</si>
  <si>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</si>
  <si>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</si>
  <si>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</si>
  <si>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</si>
  <si>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</si>
  <si>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</si>
  <si>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</si>
  <si>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</si>
  <si>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</si>
  <si>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</si>
  <si>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</si>
  <si>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</si>
  <si>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</si>
  <si>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</si>
  <si>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</si>
  <si>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</si>
  <si>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</si>
  <si>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</si>
  <si>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</si>
  <si>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</si>
  <si>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</si>
  <si>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</si>
  <si>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</si>
  <si>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</si>
  <si>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</si>
  <si>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</si>
  <si>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</si>
  <si>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</si>
  <si>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</si>
  <si>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</si>
  <si>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</si>
  <si>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</si>
  <si>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</si>
  <si>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</si>
  <si>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</si>
  <si>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</si>
  <si>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</si>
  <si>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</si>
  <si>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</si>
  <si>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</si>
  <si>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</si>
  <si>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</si>
  <si>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</si>
  <si>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</si>
  <si>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</si>
  <si>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</si>
  <si>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</si>
  <si>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</si>
  <si>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</si>
  <si>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</si>
  <si>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</si>
  <si>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</si>
  <si>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</si>
  <si>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</si>
  <si>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</si>
  <si>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</si>
  <si>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</si>
  <si>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</si>
  <si>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</si>
  <si>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</si>
  <si>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</si>
  <si>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</si>
  <si>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</si>
  <si>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</si>
  <si>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</si>
  <si>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</si>
  <si>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</si>
  <si>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</si>
  <si>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</si>
  <si>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</si>
  <si>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</si>
  <si>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</si>
  <si>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</si>
  <si>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</si>
  <si>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</si>
  <si>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</si>
  <si>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</si>
  <si>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</si>
  <si>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</si>
  <si>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</si>
  <si>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</si>
  <si>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</si>
  <si>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</si>
  <si>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</si>
  <si>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</si>
  <si>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</si>
  <si>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</si>
  <si>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</si>
  <si>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</si>
  <si>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</si>
  <si>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</si>
  <si>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</si>
  <si>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</si>
  <si>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</si>
  <si>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</si>
  <si>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</si>
  <si>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</si>
  <si>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</si>
  <si>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</si>
  <si>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</si>
  <si>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</si>
  <si>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</si>
  <si>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</si>
  <si>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</si>
  <si>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</si>
  <si>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</si>
  <si>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</si>
  <si>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</si>
  <si>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</si>
  <si>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</si>
  <si>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</si>
  <si>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</si>
  <si>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</si>
  <si>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</si>
  <si>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</si>
  <si>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</si>
  <si>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</si>
  <si>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</si>
  <si>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</si>
  <si>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</si>
  <si>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</si>
  <si>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</si>
  <si>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</si>
  <si>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</si>
  <si>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</si>
  <si>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</si>
  <si>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</si>
  <si>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</si>
  <si>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</si>
  <si>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</si>
  <si>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</si>
  <si>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</si>
  <si>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</si>
  <si>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</si>
  <si>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</si>
  <si>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</si>
  <si>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</si>
  <si>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</si>
  <si>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</si>
  <si>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</si>
  <si>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</si>
  <si>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</si>
  <si>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</si>
  <si>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</si>
  <si>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</si>
  <si>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</si>
  <si>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</si>
  <si>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</si>
  <si>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</si>
  <si>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</si>
  <si>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</si>
  <si>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</si>
  <si>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</si>
  <si>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</si>
  <si>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</si>
  <si>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</si>
  <si>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</si>
  <si>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</si>
  <si>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</si>
  <si>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</si>
  <si>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</si>
  <si>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</si>
  <si>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</si>
  <si>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</si>
  <si>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</si>
  <si>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</si>
  <si>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</si>
  <si>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</si>
  <si>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</si>
  <si>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</si>
  <si>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</si>
  <si>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</si>
  <si>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</si>
  <si>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</si>
  <si>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</si>
  <si>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</si>
  <si>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</si>
  <si>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</si>
  <si>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</si>
  <si>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</si>
  <si>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</si>
  <si>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</si>
  <si>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</si>
  <si>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</si>
  <si>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</si>
  <si>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</si>
  <si>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</si>
  <si>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</si>
  <si>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</si>
  <si>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</si>
  <si>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</si>
  <si>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</si>
  <si>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</si>
  <si>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</si>
  <si>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</si>
  <si>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</si>
  <si>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</si>
  <si>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</si>
  <si>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</si>
  <si>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</si>
  <si>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</si>
  <si>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</si>
  <si>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</si>
  <si>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</si>
  <si>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</si>
  <si>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</si>
  <si>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</si>
  <si>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</si>
  <si>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</si>
  <si>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</si>
  <si>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</si>
  <si>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</si>
  <si>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</si>
  <si>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</si>
  <si>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</si>
  <si>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</si>
  <si>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</si>
  <si>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</si>
  <si>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</si>
  <si>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</si>
  <si>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</si>
  <si>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</si>
  <si>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</si>
  <si>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</si>
  <si>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</si>
  <si>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</si>
  <si>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</si>
  <si>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</si>
  <si>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</si>
  <si>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</si>
  <si>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</si>
  <si>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</si>
  <si>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</si>
  <si>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</si>
  <si>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</si>
  <si>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</si>
  <si>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</si>
  <si>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</si>
  <si>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</si>
  <si>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</si>
  <si>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</si>
  <si>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</si>
  <si>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</si>
  <si>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</si>
  <si>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</si>
  <si>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</si>
  <si>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</si>
  <si>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</si>
  <si>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</si>
  <si>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</si>
  <si>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</si>
  <si>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</si>
  <si>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</si>
  <si>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</si>
  <si>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</si>
  <si>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</si>
  <si>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</si>
  <si>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</si>
  <si>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</si>
  <si>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</si>
  <si>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</si>
  <si>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</si>
  <si>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</si>
  <si>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</si>
  <si>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</si>
  <si>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</si>
  <si>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</si>
  <si>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</si>
  <si>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</si>
  <si>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</si>
  <si>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</si>
  <si>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</si>
  <si>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</si>
  <si>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</si>
  <si>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</si>
  <si>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</si>
  <si>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</si>
  <si>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</si>
  <si>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</si>
  <si>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</si>
  <si>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</si>
  <si>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</si>
  <si>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</si>
  <si>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</si>
  <si>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</si>
  <si>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</si>
  <si>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</si>
  <si>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</si>
  <si>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</si>
  <si>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</si>
  <si>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</si>
  <si>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</si>
  <si>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</si>
  <si>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</si>
  <si>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</si>
  <si>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</si>
  <si>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</si>
  <si>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</si>
  <si>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</si>
  <si>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</si>
  <si>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</si>
  <si>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</si>
  <si>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</si>
  <si>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</si>
  <si>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</si>
  <si>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</si>
  <si>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</si>
  <si>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</si>
  <si>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</si>
  <si>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</si>
  <si>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</si>
  <si>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</si>
  <si>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</si>
  <si>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</si>
  <si>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</si>
  <si>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</si>
  <si>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</si>
  <si>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</si>
  <si>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</si>
  <si>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</si>
  <si>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</si>
  <si>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</si>
  <si>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</si>
  <si>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</si>
  <si>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</si>
  <si>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</si>
  <si>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</si>
  <si>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</si>
  <si>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</si>
  <si>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</si>
  <si>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</si>
  <si>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</si>
  <si>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</si>
  <si>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</si>
  <si>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</si>
  <si>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</si>
  <si>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</si>
  <si>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</si>
  <si>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</si>
  <si>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</si>
  <si>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</si>
  <si>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</si>
  <si>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</si>
  <si>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</si>
  <si>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</si>
  <si>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</si>
  <si>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</si>
  <si>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</si>
  <si>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</si>
  <si>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</si>
  <si>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</si>
  <si>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</si>
  <si>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</si>
  <si>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</si>
  <si>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</si>
  <si>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</si>
  <si>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</si>
  <si>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</si>
  <si>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</si>
  <si>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</si>
  <si>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</si>
  <si>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</si>
  <si>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</si>
  <si>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</si>
  <si>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</si>
  <si>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</si>
  <si>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</si>
  <si>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</si>
  <si>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</si>
  <si>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</si>
  <si>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</si>
  <si>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</si>
  <si>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</si>
  <si>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</si>
  <si>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</si>
  <si>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</si>
  <si>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</si>
  <si>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</si>
  <si>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</si>
  <si>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</si>
  <si>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</si>
  <si>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</si>
  <si>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</si>
  <si>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</si>
  <si>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</si>
  <si>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</si>
  <si>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</si>
  <si>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</si>
  <si>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</si>
  <si>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</si>
  <si>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</si>
  <si>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</si>
  <si>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</si>
  <si>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</si>
  <si>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</si>
  <si>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</si>
  <si>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</si>
  <si>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</si>
  <si>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</si>
  <si>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</si>
  <si>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</si>
  <si>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</si>
  <si>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</si>
  <si>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</si>
  <si>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</si>
  <si>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</si>
  <si>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</si>
  <si>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</si>
  <si>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</si>
  <si>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</si>
  <si>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</si>
  <si>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</si>
  <si>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</si>
  <si>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</si>
  <si>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</si>
  <si>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</si>
  <si>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</si>
  <si>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</si>
  <si>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</si>
  <si>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</si>
  <si>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</si>
  <si>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</si>
  <si>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</si>
  <si>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</si>
  <si>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</si>
  <si>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</si>
  <si>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</si>
  <si>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</si>
  <si>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</si>
  <si>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</si>
  <si>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</si>
  <si>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</si>
  <si>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</si>
  <si>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</si>
  <si>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</si>
  <si>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</si>
  <si>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</si>
  <si>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</si>
  <si>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</si>
  <si>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</si>
  <si>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</si>
  <si>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</si>
  <si>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</si>
  <si>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</si>
  <si>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</si>
  <si>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</si>
  <si>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</si>
  <si>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</si>
  <si>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</si>
  <si>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</si>
  <si>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</si>
  <si>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</si>
  <si>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</si>
  <si>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</si>
  <si>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</si>
  <si>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</si>
  <si>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</si>
  <si>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</si>
  <si>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</si>
  <si>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</si>
  <si>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</si>
  <si>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</si>
  <si>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</si>
  <si>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</si>
  <si>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</si>
  <si>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</si>
  <si>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</si>
  <si>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</si>
  <si>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</si>
  <si>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</si>
  <si>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</si>
  <si>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</si>
  <si>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</si>
  <si>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</si>
  <si>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</si>
  <si>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</si>
  <si>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</si>
  <si>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</si>
  <si>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</si>
  <si>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</si>
  <si>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</si>
  <si>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</si>
  <si>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</si>
  <si>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</si>
  <si>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</si>
  <si>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</si>
  <si>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</si>
  <si>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</si>
  <si>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</si>
  <si>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</si>
  <si>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</si>
  <si>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</si>
  <si>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</si>
  <si>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</si>
  <si>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</si>
  <si>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</si>
  <si>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</si>
  <si>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</si>
  <si>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</si>
  <si>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</si>
  <si>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</si>
  <si>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</si>
  <si>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</si>
  <si>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</si>
  <si>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</si>
  <si>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</si>
  <si>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</si>
  <si>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</si>
  <si>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</si>
  <si>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</si>
  <si>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</si>
  <si>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</si>
  <si>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</si>
  <si>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</si>
  <si>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</si>
  <si>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</si>
  <si>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</si>
  <si>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</si>
  <si>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</si>
  <si>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</si>
  <si>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</si>
  <si>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</si>
  <si>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</si>
  <si>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</si>
  <si>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</si>
  <si>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</si>
  <si>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</si>
  <si>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</si>
  <si>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</si>
  <si>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</si>
  <si>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</si>
  <si>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</si>
  <si>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</si>
  <si>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</si>
  <si>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</si>
  <si>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</si>
  <si>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</si>
  <si>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</si>
  <si>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</si>
  <si>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</si>
  <si>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</si>
  <si>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</si>
  <si>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</si>
  <si>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</si>
  <si>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</si>
  <si>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</si>
  <si>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</si>
  <si>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</si>
  <si>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</si>
  <si>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</si>
  <si>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</si>
  <si>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</si>
  <si>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</si>
  <si>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</si>
  <si>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</si>
  <si>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</si>
  <si>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</si>
  <si>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</si>
  <si>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</si>
  <si>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</si>
  <si>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</si>
  <si>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</si>
  <si>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</si>
  <si>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</si>
  <si>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</si>
  <si>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</si>
  <si>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</si>
  <si>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</si>
  <si>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</si>
  <si>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</si>
  <si>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</si>
  <si>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</si>
  <si>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</si>
  <si>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</si>
  <si>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</si>
  <si>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</si>
  <si>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</si>
  <si>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</si>
  <si>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</si>
  <si>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</si>
  <si>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</si>
  <si>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</si>
  <si>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</si>
  <si>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</si>
  <si>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</si>
  <si>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</si>
  <si>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</si>
  <si>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</si>
  <si>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</si>
  <si>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</si>
  <si>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</si>
  <si>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</si>
  <si>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</si>
  <si>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</si>
  <si>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</si>
  <si>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</si>
  <si>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</si>
  <si>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</si>
  <si>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</si>
  <si>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</si>
  <si>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</si>
  <si>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</si>
  <si>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</si>
  <si>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</si>
  <si>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</si>
  <si>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</si>
  <si>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</si>
  <si>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</si>
  <si>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</si>
  <si>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</si>
  <si>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</si>
  <si>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</si>
  <si>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</si>
  <si>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</si>
  <si>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</si>
  <si>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</si>
  <si>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</si>
  <si>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</si>
  <si>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</si>
  <si>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</si>
  <si>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</si>
  <si>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</si>
  <si>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</si>
  <si>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</si>
  <si>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</si>
  <si>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</si>
  <si>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</si>
  <si>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</si>
  <si>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</si>
  <si>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</si>
  <si>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</si>
  <si>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</si>
  <si>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</si>
  <si>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</si>
  <si>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</si>
  <si>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</si>
  <si>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</si>
  <si>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</si>
  <si>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</si>
  <si>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</si>
  <si>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</si>
  <si>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</si>
  <si>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</si>
  <si>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</si>
  <si>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</si>
  <si>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</si>
  <si>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</si>
  <si>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</si>
  <si>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</si>
  <si>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</si>
  <si>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</si>
  <si>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</si>
  <si>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</si>
  <si>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</si>
  <si>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</si>
  <si>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</si>
  <si>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</si>
  <si>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</si>
  <si>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</si>
  <si>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</si>
  <si>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</si>
  <si>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</si>
  <si>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</si>
  <si>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</si>
  <si>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</si>
  <si>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</si>
  <si>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</si>
  <si>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</si>
  <si>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</si>
  <si>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</si>
  <si>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</si>
  <si>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</si>
  <si>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</si>
  <si>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</si>
  <si>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</si>
  <si>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</si>
  <si>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</si>
  <si>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</si>
  <si>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</si>
  <si>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</si>
  <si>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</si>
  <si>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</si>
  <si>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</si>
  <si>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</si>
  <si>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</si>
  <si>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</si>
  <si>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</si>
  <si>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</si>
  <si>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</si>
  <si>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</si>
  <si>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</si>
  <si>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</si>
  <si>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</si>
  <si>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</si>
  <si>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</si>
  <si>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</si>
  <si>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</si>
  <si>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</si>
  <si>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</si>
  <si>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</si>
  <si>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</si>
  <si>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</si>
  <si>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</si>
  <si>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</si>
  <si>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</si>
  <si>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</si>
  <si>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</si>
  <si>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</si>
  <si>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</si>
  <si>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</si>
  <si>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</si>
  <si>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</si>
  <si>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</si>
  <si>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</si>
  <si>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</si>
  <si>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</si>
  <si>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</si>
  <si>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</si>
  <si>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</si>
  <si>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</si>
  <si>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</si>
  <si>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</si>
  <si>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</si>
  <si>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</si>
  <si>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</si>
  <si>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</si>
  <si>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</si>
  <si>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</si>
  <si>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</si>
  <si>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</si>
  <si>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</si>
  <si>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</si>
  <si>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</si>
  <si>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</si>
  <si>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</si>
  <si>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</si>
  <si>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</si>
  <si>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</si>
  <si>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</si>
  <si>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</si>
  <si>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</si>
  <si>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</si>
  <si>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</si>
  <si>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</si>
  <si>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</si>
  <si>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</si>
  <si>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</si>
  <si>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</si>
  <si>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</si>
  <si>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</si>
  <si>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</si>
  <si>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</si>
  <si>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</si>
  <si>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</si>
  <si>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</si>
  <si>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</si>
  <si>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</si>
  <si>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</si>
  <si>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</si>
  <si>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</si>
  <si>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</si>
  <si>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</si>
  <si>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</si>
  <si>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</si>
  <si>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</si>
  <si>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</si>
  <si>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</si>
  <si>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</si>
  <si>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</si>
  <si>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</si>
  <si>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</si>
  <si>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</si>
  <si>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</si>
  <si>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</si>
  <si>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</si>
  <si>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</si>
  <si>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</si>
  <si>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</si>
  <si>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</si>
  <si>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</si>
  <si>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</si>
  <si>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</si>
  <si>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</si>
  <si>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</si>
  <si>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</si>
  <si>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</si>
  <si>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</si>
  <si>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</si>
  <si>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</si>
  <si>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</si>
  <si>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</si>
  <si>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</si>
  <si>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</si>
  <si>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</si>
  <si>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</si>
  <si>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</si>
  <si>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</si>
  <si>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</si>
  <si>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</si>
  <si>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</si>
  <si>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</si>
  <si>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</si>
  <si>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</si>
  <si>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</si>
  <si>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</si>
  <si>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</si>
  <si>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</si>
  <si>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</si>
  <si>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</si>
  <si>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</si>
  <si>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</si>
  <si>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</si>
  <si>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</si>
  <si>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</si>
  <si>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</si>
  <si>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</si>
  <si>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</si>
  <si>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</si>
  <si>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</si>
  <si>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</si>
  <si>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</si>
  <si>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</si>
  <si>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</si>
  <si>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</si>
  <si>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</si>
  <si>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</si>
  <si>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</si>
  <si>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</si>
  <si>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</si>
  <si>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</si>
  <si>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</si>
  <si>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</si>
  <si>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</si>
  <si>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</si>
  <si>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</si>
  <si>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</si>
  <si>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</si>
  <si>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</si>
  <si>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</si>
  <si>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</si>
  <si>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</si>
  <si>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</si>
  <si>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</si>
  <si>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</si>
  <si>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</si>
  <si>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</si>
  <si>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</si>
  <si>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</si>
  <si>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</si>
  <si>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</si>
  <si>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</si>
  <si>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</si>
  <si>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</si>
  <si>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</si>
  <si>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</si>
  <si>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</si>
  <si>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</si>
  <si>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</si>
  <si>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</si>
  <si>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</si>
  <si>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</si>
  <si>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</si>
  <si>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</si>
  <si>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</si>
  <si>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</si>
  <si>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</si>
  <si>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</si>
  <si>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</si>
  <si>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</si>
  <si>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</si>
  <si>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</si>
  <si>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</si>
  <si>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</si>
  <si>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</si>
  <si>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</si>
  <si>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</si>
  <si>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</si>
  <si>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</si>
  <si>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</si>
  <si>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</si>
  <si>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</si>
  <si>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</si>
  <si>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</si>
  <si>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</si>
  <si>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</si>
  <si>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</si>
  <si>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</si>
  <si>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</si>
  <si>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</si>
  <si>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</si>
  <si>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</si>
  <si>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</si>
  <si>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</si>
  <si>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</si>
  <si>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</si>
  <si>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</si>
  <si>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</si>
  <si>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</si>
  <si>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</si>
  <si>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</si>
  <si>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</si>
  <si>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</si>
  <si>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</si>
  <si>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</si>
  <si>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</si>
  <si>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</si>
  <si>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</si>
  <si>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</si>
  <si>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</si>
  <si>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</si>
  <si>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</si>
  <si>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</si>
  <si>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</si>
  <si>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</si>
  <si>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</si>
  <si>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</si>
  <si>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</si>
  <si>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</si>
  <si>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</si>
  <si>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</si>
  <si>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</si>
  <si>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</si>
  <si>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</si>
  <si>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</si>
  <si>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</si>
  <si>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</si>
  <si>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</si>
  <si>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</si>
  <si>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</si>
  <si>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</si>
  <si>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</si>
  <si>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</si>
  <si>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</si>
  <si>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</si>
  <si>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</si>
  <si>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</si>
  <si>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</si>
  <si>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</si>
  <si>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</si>
  <si>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</si>
  <si>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</si>
  <si>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</si>
  <si>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</si>
  <si>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</si>
  <si>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</si>
  <si>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</si>
  <si>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</si>
  <si>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</si>
  <si>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</si>
  <si>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</si>
  <si>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</si>
  <si>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</si>
  <si>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</si>
  <si>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</si>
  <si>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</si>
  <si>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</si>
  <si>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</si>
  <si>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</si>
  <si>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</si>
  <si>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</si>
  <si>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</si>
  <si>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</si>
  <si>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</si>
  <si>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</si>
  <si>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</si>
  <si>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</si>
  <si>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</si>
  <si>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</si>
  <si>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</si>
  <si>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</si>
  <si>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</si>
  <si>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</si>
  <si>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</si>
  <si>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</si>
  <si>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</si>
  <si>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</si>
  <si>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</si>
  <si>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</si>
  <si>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</si>
  <si>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</si>
  <si>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</si>
  <si>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</si>
  <si>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</si>
  <si>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</si>
  <si>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</si>
  <si>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</si>
  <si>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</si>
  <si>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</si>
  <si>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</si>
  <si>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</si>
  <si>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</si>
  <si>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</si>
  <si>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</si>
  <si>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</si>
  <si>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</si>
  <si>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</si>
  <si>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</si>
  <si>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</si>
  <si>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</si>
  <si>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</si>
  <si>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</si>
  <si>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</si>
  <si>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</si>
  <si>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</si>
  <si>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</si>
  <si>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</si>
  <si>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</si>
  <si>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</si>
  <si>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</si>
  <si>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</si>
  <si>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</si>
  <si>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</si>
  <si>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</si>
  <si>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</si>
  <si>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</si>
  <si>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</si>
  <si>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</si>
  <si>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</si>
  <si>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</si>
  <si>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</si>
  <si>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</si>
  <si>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</si>
  <si>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</si>
  <si>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</si>
  <si>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</si>
  <si>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</si>
  <si>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</si>
  <si>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</si>
  <si>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</si>
  <si>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</si>
  <si>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</si>
  <si>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</si>
  <si>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</si>
  <si>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</si>
  <si>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</si>
  <si>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</si>
  <si>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</si>
  <si>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</si>
  <si>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</si>
  <si>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</si>
  <si>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</si>
  <si>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</si>
  <si>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</si>
  <si>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</si>
  <si>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</si>
  <si>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</si>
  <si>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</si>
  <si>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</si>
  <si>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</si>
  <si>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</si>
  <si>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</si>
  <si>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</si>
  <si>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</si>
  <si>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</si>
  <si>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</si>
  <si>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</si>
  <si>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</si>
  <si>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</si>
  <si>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</si>
  <si>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</si>
  <si>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</si>
  <si>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</si>
  <si>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</si>
  <si>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</si>
  <si>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</si>
  <si>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</si>
  <si>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</si>
  <si>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</si>
  <si>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</si>
  <si>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</si>
  <si>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</si>
  <si>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</si>
  <si>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</si>
  <si>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</si>
  <si>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</si>
  <si>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</si>
  <si>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</si>
  <si>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</si>
  <si>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</si>
  <si>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</si>
  <si>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</si>
  <si>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</si>
  <si>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</si>
  <si>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</si>
  <si>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</si>
  <si>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</si>
  <si>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</si>
  <si>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</si>
  <si>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</si>
  <si>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</si>
  <si>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</si>
  <si>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</si>
  <si>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</si>
  <si>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</si>
  <si>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</si>
  <si>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</si>
  <si>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</si>
  <si>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</si>
  <si>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</si>
  <si>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</si>
  <si>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</si>
  <si>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</si>
  <si>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</si>
  <si>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</si>
  <si>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</si>
  <si>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</si>
  <si>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</si>
  <si>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</si>
  <si>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</si>
  <si>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</si>
  <si>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</si>
  <si>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</si>
  <si>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</si>
  <si>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</si>
  <si>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</si>
  <si>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</si>
  <si>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</si>
  <si>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</si>
  <si>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</si>
  <si>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</si>
  <si>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</si>
  <si>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</si>
  <si>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</si>
  <si>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</si>
  <si>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</si>
  <si>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</si>
  <si>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</si>
  <si>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</si>
  <si>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</si>
  <si>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</si>
  <si>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</si>
  <si>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</si>
  <si>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</si>
  <si>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</si>
  <si>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</si>
  <si>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</si>
  <si>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</si>
  <si>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</si>
  <si>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</si>
  <si>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</si>
  <si>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</si>
  <si>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</si>
  <si>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</si>
  <si>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</si>
  <si>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</si>
  <si>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</si>
  <si>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</si>
  <si>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</si>
  <si>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</si>
  <si>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</si>
  <si>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</si>
  <si>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</si>
  <si>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</si>
  <si>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</si>
  <si>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</si>
  <si>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</si>
  <si>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</si>
  <si>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</si>
  <si>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</si>
  <si>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</si>
  <si>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</si>
  <si>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</si>
  <si>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</si>
  <si>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</si>
  <si>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</si>
  <si>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</si>
  <si>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</si>
  <si>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</si>
  <si>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</si>
  <si>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</si>
  <si>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</si>
  <si>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</si>
  <si>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</si>
  <si>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</si>
  <si>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</si>
  <si>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</si>
  <si>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</si>
  <si>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</si>
  <si>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</si>
  <si>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</si>
  <si>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</si>
  <si>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</si>
  <si>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</si>
  <si>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</si>
  <si>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</si>
  <si>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</si>
  <si>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</si>
  <si>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</si>
  <si>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</si>
  <si>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</si>
  <si>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</si>
  <si>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</si>
  <si>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</si>
  <si>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</si>
  <si>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</si>
  <si>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</si>
  <si>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</si>
  <si>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</si>
  <si>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</si>
  <si>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</si>
  <si>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</si>
  <si>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</si>
  <si>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</si>
  <si>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</si>
  <si>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</si>
  <si>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</si>
  <si>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</si>
  <si>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</si>
  <si>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</si>
  <si>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</si>
  <si>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</si>
  <si>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</si>
  <si>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</si>
  <si>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</si>
  <si>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</si>
  <si>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</si>
  <si>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</si>
  <si>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</si>
  <si>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</si>
  <si>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</si>
  <si>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</si>
  <si>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</si>
  <si>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</si>
  <si>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</si>
  <si>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</si>
  <si>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</si>
  <si>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</si>
  <si>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</si>
  <si>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</si>
  <si>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</si>
  <si>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</si>
  <si>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</si>
  <si>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</si>
  <si>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</si>
  <si>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</si>
  <si>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</si>
  <si>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</si>
  <si>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</si>
  <si>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</si>
  <si>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</si>
  <si>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</si>
  <si>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</si>
  <si>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</si>
  <si>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</si>
  <si>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</si>
  <si>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</si>
  <si>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</si>
  <si>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</si>
  <si>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</si>
  <si>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</si>
  <si>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</si>
  <si>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</si>
  <si>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</si>
  <si>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</si>
  <si>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</si>
  <si>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</si>
  <si>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</si>
  <si>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</si>
  <si>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</si>
  <si>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</si>
  <si>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</si>
  <si>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</si>
  <si>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</si>
  <si>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</si>
  <si>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</si>
  <si>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</si>
  <si>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</si>
  <si>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</si>
  <si>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</si>
  <si>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</si>
  <si>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</si>
  <si>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</si>
  <si>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</si>
  <si>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</si>
  <si>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</si>
  <si>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</si>
  <si>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</si>
  <si>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</si>
  <si>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</si>
  <si>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</si>
  <si>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</si>
  <si>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</si>
  <si>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</si>
  <si>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</si>
  <si>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</si>
  <si>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</si>
  <si>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</si>
  <si>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</si>
  <si>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</si>
  <si>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</si>
  <si>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</si>
  <si>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</si>
  <si>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</si>
  <si>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</si>
  <si>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</si>
  <si>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</si>
  <si>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</si>
  <si>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</si>
  <si>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</si>
  <si>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</si>
  <si>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</si>
  <si>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</si>
  <si>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</si>
  <si>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</si>
  <si>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</si>
  <si>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</si>
  <si>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</si>
  <si>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</si>
  <si>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</si>
  <si>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</si>
  <si>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</si>
  <si>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</si>
  <si>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</si>
  <si>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</si>
  <si>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</si>
  <si>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</si>
  <si>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</si>
  <si>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</si>
  <si>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</si>
  <si>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</si>
  <si>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</si>
  <si>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</si>
  <si>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</si>
  <si>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</si>
  <si>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</si>
  <si>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</si>
  <si>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</si>
  <si>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</si>
  <si>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</si>
  <si>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</si>
  <si>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</si>
  <si>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</si>
  <si>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</si>
  <si>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</si>
  <si>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</si>
  <si>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</si>
  <si>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</si>
  <si>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</si>
  <si>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</si>
  <si>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</si>
  <si>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</si>
  <si>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</si>
  <si>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</si>
  <si>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</si>
  <si>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</si>
  <si>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</si>
  <si>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</si>
  <si>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</si>
  <si>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</si>
  <si>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</si>
  <si>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</si>
  <si>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</si>
  <si>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</si>
  <si>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</si>
  <si>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</si>
  <si>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</si>
  <si>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</si>
  <si>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</si>
  <si>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</si>
  <si>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</si>
  <si>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</si>
  <si>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</si>
  <si>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</si>
  <si>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</si>
  <si>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</si>
  <si>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</si>
  <si>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</si>
  <si>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</si>
  <si>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</si>
  <si>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</si>
  <si>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</si>
  <si>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</si>
  <si>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</si>
  <si>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</si>
  <si>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</si>
  <si>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</si>
  <si>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</si>
  <si>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</si>
  <si>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</si>
  <si>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</si>
  <si>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</si>
  <si>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</si>
  <si>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</si>
  <si>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</si>
  <si>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</si>
  <si>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</si>
  <si>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</si>
  <si>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</si>
  <si>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</si>
  <si>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</si>
  <si>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</si>
  <si>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</si>
  <si>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</si>
  <si>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</si>
  <si>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</si>
  <si>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</si>
  <si>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</si>
  <si>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</si>
  <si>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</si>
  <si>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</si>
  <si>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</si>
  <si>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</si>
  <si>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</si>
  <si>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</si>
  <si>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</si>
  <si>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</si>
  <si>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</si>
  <si>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</si>
  <si>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</si>
  <si>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</si>
  <si>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</si>
  <si>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</si>
  <si>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</si>
  <si>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</si>
  <si>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</si>
  <si>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</si>
  <si>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</si>
  <si>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</si>
  <si>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</si>
  <si>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</si>
  <si>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</si>
  <si>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</si>
  <si>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</si>
  <si>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</si>
  <si>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</si>
  <si>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</si>
  <si>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</si>
  <si>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</si>
  <si>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</si>
  <si>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</si>
  <si>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</si>
  <si>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</si>
  <si>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</si>
  <si>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</si>
  <si>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</si>
  <si>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</si>
  <si>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</si>
  <si>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</si>
  <si>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</si>
  <si>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</si>
  <si>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</si>
  <si>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</si>
  <si>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</si>
  <si>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</si>
  <si>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</si>
  <si>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</si>
  <si>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</si>
  <si>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</si>
  <si>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</si>
  <si>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</si>
  <si>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</si>
  <si>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</si>
  <si>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</si>
  <si>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</si>
  <si>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</si>
  <si>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</si>
  <si>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</si>
  <si>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</si>
  <si>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</si>
  <si>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</si>
  <si>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</si>
  <si>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</si>
  <si>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</si>
  <si>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</si>
  <si>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</si>
  <si>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</si>
  <si>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</si>
  <si>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</si>
  <si>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</si>
  <si>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</si>
  <si>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</si>
  <si>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</si>
  <si>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</si>
  <si>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</si>
  <si>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</si>
  <si>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</si>
  <si>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</si>
  <si>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</si>
  <si>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</si>
  <si>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</si>
  <si>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</si>
  <si>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</si>
  <si>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</si>
  <si>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</si>
  <si>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</si>
  <si>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</si>
  <si>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</si>
  <si>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</si>
  <si>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</si>
  <si>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</si>
  <si>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</si>
  <si>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</si>
  <si>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</si>
  <si>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</si>
  <si>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</si>
  <si>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</si>
  <si>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</si>
  <si>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</si>
  <si>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</si>
  <si>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</si>
  <si>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</si>
  <si>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</si>
  <si>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</si>
  <si>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</si>
  <si>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</si>
  <si>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</si>
  <si>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</si>
  <si>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</si>
  <si>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</si>
  <si>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</si>
  <si>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</si>
  <si>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</si>
  <si>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</si>
  <si>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</si>
  <si>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</si>
  <si>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</si>
  <si>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</si>
  <si>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</si>
  <si>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</si>
  <si>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</si>
  <si>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</si>
  <si>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</si>
  <si>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</si>
  <si>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</si>
  <si>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</si>
  <si>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</si>
  <si>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</si>
  <si>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</si>
  <si>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</si>
  <si>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</si>
  <si>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</si>
  <si>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</si>
  <si>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</si>
  <si>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</si>
  <si>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</si>
  <si>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</si>
  <si>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</si>
  <si>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</si>
  <si>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</si>
  <si>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</si>
  <si>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</si>
  <si>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</si>
  <si>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</si>
  <si>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</si>
  <si>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</si>
  <si>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</si>
  <si>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</si>
  <si>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</si>
  <si>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</si>
  <si>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</si>
  <si>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</si>
  <si>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</si>
  <si>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</si>
  <si>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</si>
  <si>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</si>
  <si>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</si>
  <si>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</si>
  <si>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</si>
  <si>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</si>
  <si>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</si>
  <si>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</si>
  <si>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</si>
  <si>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</si>
  <si>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</si>
  <si>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</si>
  <si>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</si>
  <si>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</si>
  <si>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</si>
  <si>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</si>
  <si>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</si>
  <si>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</si>
  <si>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</si>
  <si>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</si>
  <si>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</si>
  <si>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</si>
  <si>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</si>
  <si>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</si>
  <si>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</si>
  <si>
    <r>
      <t>7</t>
    </r>
    <r>
      <rPr>
        <sz val="10"/>
        <color rgb="FFFFFF00"/>
        <rFont val="宋体"/>
        <family val="3"/>
        <charset val="134"/>
      </rPr>
      <t>号楼</t>
    </r>
    <phoneticPr fontId="25" type="noConversion"/>
  </si>
  <si>
    <r>
      <t>4</t>
    </r>
    <r>
      <rPr>
        <sz val="10"/>
        <color rgb="FFFFFF00"/>
        <rFont val="宋体"/>
        <family val="3"/>
        <charset val="134"/>
      </rPr>
      <t>号楼</t>
    </r>
    <phoneticPr fontId="25" type="noConversion"/>
  </si>
  <si>
    <t>2单元-2802</t>
    <phoneticPr fontId="25" type="noConversion"/>
  </si>
  <si>
    <r>
      <t>2</t>
    </r>
    <r>
      <rPr>
        <sz val="10"/>
        <color rgb="FFFFFF00"/>
        <rFont val="宋体"/>
        <family val="3"/>
        <charset val="134"/>
      </rPr>
      <t>单元</t>
    </r>
    <r>
      <rPr>
        <sz val="10"/>
        <color rgb="FFFFFF00"/>
        <rFont val="Arial"/>
        <family val="2"/>
      </rPr>
      <t>-1402</t>
    </r>
    <phoneticPr fontId="25" type="noConversion"/>
  </si>
  <si>
    <r>
      <t>1</t>
    </r>
    <r>
      <rPr>
        <sz val="10"/>
        <color rgb="FFFFFF00"/>
        <rFont val="宋体"/>
        <family val="3"/>
        <charset val="134"/>
      </rPr>
      <t>单元</t>
    </r>
    <r>
      <rPr>
        <sz val="10"/>
        <color rgb="FFFFFF00"/>
        <rFont val="Arial"/>
        <family val="2"/>
      </rPr>
      <t>-1902</t>
    </r>
    <phoneticPr fontId="25" type="noConversion"/>
  </si>
  <si>
    <r>
      <t>2</t>
    </r>
    <r>
      <rPr>
        <sz val="10"/>
        <color rgb="FFFFFF00"/>
        <rFont val="宋体"/>
        <family val="3"/>
        <charset val="134"/>
      </rPr>
      <t>单元</t>
    </r>
    <r>
      <rPr>
        <sz val="10"/>
        <color rgb="FFFFFF00"/>
        <rFont val="Arial"/>
        <family val="2"/>
      </rPr>
      <t>-2501</t>
    </r>
    <phoneticPr fontId="25" type="noConversion"/>
  </si>
  <si>
    <t>1-1102</t>
  </si>
  <si>
    <t>1-1601</t>
  </si>
  <si>
    <t>1-1802</t>
  </si>
  <si>
    <t>1-1901</t>
  </si>
  <si>
    <t>1-2102</t>
  </si>
  <si>
    <t>1-2202</t>
  </si>
  <si>
    <t>1-2602</t>
  </si>
  <si>
    <t>1-601</t>
  </si>
  <si>
    <t>2-1801</t>
  </si>
  <si>
    <t>2-2002</t>
  </si>
  <si>
    <t>1-1201</t>
  </si>
  <si>
    <t>1-1202</t>
  </si>
  <si>
    <t>1-1502</t>
  </si>
  <si>
    <t>1-1801</t>
  </si>
  <si>
    <t>1-2101</t>
  </si>
  <si>
    <t>1-2501</t>
  </si>
  <si>
    <t>1-402</t>
  </si>
  <si>
    <t>2-1701</t>
  </si>
  <si>
    <t>2-202</t>
  </si>
  <si>
    <t>2-2102</t>
  </si>
  <si>
    <t>2-2301</t>
  </si>
  <si>
    <t>序号</t>
  </si>
  <si>
    <t>楼号</t>
  </si>
  <si>
    <r>
      <t>位置</t>
    </r>
    <r>
      <rPr>
        <sz val="9"/>
        <color theme="1"/>
        <rFont val="Arial"/>
        <family val="2"/>
      </rPr>
      <t>/</t>
    </r>
    <r>
      <rPr>
        <sz val="9"/>
        <color theme="1"/>
        <rFont val="华文细黑"/>
        <family val="3"/>
        <charset val="134"/>
      </rPr>
      <t>类型</t>
    </r>
  </si>
  <si>
    <t>建筑面积</t>
  </si>
  <si>
    <r>
      <t>楼面单价（元</t>
    </r>
    <r>
      <rPr>
        <sz val="9"/>
        <color theme="1"/>
        <rFont val="Arial"/>
        <family val="2"/>
      </rPr>
      <t>/</t>
    </r>
    <r>
      <rPr>
        <sz val="9"/>
        <color theme="1"/>
        <rFont val="华文细黑"/>
        <family val="3"/>
        <charset val="134"/>
      </rPr>
      <t>平方米）</t>
    </r>
  </si>
  <si>
    <r>
      <t>7</t>
    </r>
    <r>
      <rPr>
        <sz val="9"/>
        <color theme="1"/>
        <rFont val="华文细黑"/>
        <family val="3"/>
        <charset val="134"/>
      </rPr>
      <t>号楼</t>
    </r>
  </si>
  <si>
    <r>
      <t>1</t>
    </r>
    <r>
      <rPr>
        <sz val="9"/>
        <color theme="1"/>
        <rFont val="华文细黑"/>
        <family val="3"/>
        <charset val="134"/>
      </rPr>
      <t>单元</t>
    </r>
    <r>
      <rPr>
        <sz val="9"/>
        <color theme="1"/>
        <rFont val="Arial"/>
        <family val="2"/>
      </rPr>
      <t>-101</t>
    </r>
  </si>
  <si>
    <r>
      <t>1</t>
    </r>
    <r>
      <rPr>
        <sz val="9"/>
        <color theme="1"/>
        <rFont val="华文细黑"/>
        <family val="3"/>
        <charset val="134"/>
      </rPr>
      <t>单元</t>
    </r>
    <r>
      <rPr>
        <sz val="9"/>
        <color theme="1"/>
        <rFont val="Arial"/>
        <family val="2"/>
      </rPr>
      <t>-102</t>
    </r>
  </si>
  <si>
    <r>
      <t>1</t>
    </r>
    <r>
      <rPr>
        <sz val="9"/>
        <color theme="1"/>
        <rFont val="华文细黑"/>
        <family val="3"/>
        <charset val="134"/>
      </rPr>
      <t>单元</t>
    </r>
    <r>
      <rPr>
        <sz val="9"/>
        <color theme="1"/>
        <rFont val="Arial"/>
        <family val="2"/>
      </rPr>
      <t>-402</t>
    </r>
  </si>
  <si>
    <r>
      <t>1</t>
    </r>
    <r>
      <rPr>
        <sz val="9"/>
        <color theme="1"/>
        <rFont val="华文细黑"/>
        <family val="3"/>
        <charset val="134"/>
      </rPr>
      <t>单元</t>
    </r>
    <r>
      <rPr>
        <sz val="9"/>
        <color theme="1"/>
        <rFont val="Arial"/>
        <family val="2"/>
      </rPr>
      <t>-1202</t>
    </r>
  </si>
  <si>
    <r>
      <t>1</t>
    </r>
    <r>
      <rPr>
        <sz val="9"/>
        <color theme="1"/>
        <rFont val="华文细黑"/>
        <family val="3"/>
        <charset val="134"/>
      </rPr>
      <t>单元</t>
    </r>
    <r>
      <rPr>
        <sz val="9"/>
        <color theme="1"/>
        <rFont val="Arial"/>
        <family val="2"/>
      </rPr>
      <t>-1502</t>
    </r>
  </si>
  <si>
    <r>
      <t>1</t>
    </r>
    <r>
      <rPr>
        <sz val="9"/>
        <color theme="1"/>
        <rFont val="华文细黑"/>
        <family val="3"/>
        <charset val="134"/>
      </rPr>
      <t>单元</t>
    </r>
    <r>
      <rPr>
        <sz val="9"/>
        <color theme="1"/>
        <rFont val="Arial"/>
        <family val="2"/>
      </rPr>
      <t>-1801</t>
    </r>
  </si>
  <si>
    <r>
      <t>1</t>
    </r>
    <r>
      <rPr>
        <sz val="9"/>
        <color theme="1"/>
        <rFont val="华文细黑"/>
        <family val="3"/>
        <charset val="134"/>
      </rPr>
      <t>单元</t>
    </r>
    <r>
      <rPr>
        <sz val="9"/>
        <color theme="1"/>
        <rFont val="Arial"/>
        <family val="2"/>
      </rPr>
      <t>-2101</t>
    </r>
  </si>
  <si>
    <r>
      <t>1</t>
    </r>
    <r>
      <rPr>
        <sz val="9"/>
        <color theme="1"/>
        <rFont val="华文细黑"/>
        <family val="3"/>
        <charset val="134"/>
      </rPr>
      <t>单元</t>
    </r>
    <r>
      <rPr>
        <sz val="9"/>
        <color theme="1"/>
        <rFont val="Arial"/>
        <family val="2"/>
      </rPr>
      <t>-2501</t>
    </r>
  </si>
  <si>
    <r>
      <t>1</t>
    </r>
    <r>
      <rPr>
        <sz val="9"/>
        <color theme="1"/>
        <rFont val="华文细黑"/>
        <family val="3"/>
        <charset val="134"/>
      </rPr>
      <t>单元</t>
    </r>
    <r>
      <rPr>
        <sz val="9"/>
        <color theme="1"/>
        <rFont val="Arial"/>
        <family val="2"/>
      </rPr>
      <t>-2801</t>
    </r>
  </si>
  <si>
    <r>
      <t>1</t>
    </r>
    <r>
      <rPr>
        <sz val="9"/>
        <color theme="1"/>
        <rFont val="华文细黑"/>
        <family val="3"/>
        <charset val="134"/>
      </rPr>
      <t>单元</t>
    </r>
    <r>
      <rPr>
        <sz val="9"/>
        <color theme="1"/>
        <rFont val="Arial"/>
        <family val="2"/>
      </rPr>
      <t>-2802</t>
    </r>
  </si>
  <si>
    <r>
      <t>2</t>
    </r>
    <r>
      <rPr>
        <sz val="9"/>
        <color theme="1"/>
        <rFont val="华文细黑"/>
        <family val="3"/>
        <charset val="134"/>
      </rPr>
      <t>单元</t>
    </r>
    <r>
      <rPr>
        <sz val="9"/>
        <color theme="1"/>
        <rFont val="Arial"/>
        <family val="2"/>
      </rPr>
      <t>-102</t>
    </r>
  </si>
  <si>
    <r>
      <t>2</t>
    </r>
    <r>
      <rPr>
        <sz val="9"/>
        <color theme="1"/>
        <rFont val="华文细黑"/>
        <family val="3"/>
        <charset val="134"/>
      </rPr>
      <t>单元</t>
    </r>
    <r>
      <rPr>
        <sz val="9"/>
        <color theme="1"/>
        <rFont val="Arial"/>
        <family val="2"/>
      </rPr>
      <t>-202</t>
    </r>
  </si>
  <si>
    <r>
      <t>2</t>
    </r>
    <r>
      <rPr>
        <sz val="9"/>
        <color theme="1"/>
        <rFont val="华文细黑"/>
        <family val="3"/>
        <charset val="134"/>
      </rPr>
      <t>单元</t>
    </r>
    <r>
      <rPr>
        <sz val="9"/>
        <color theme="1"/>
        <rFont val="Arial"/>
        <family val="2"/>
      </rPr>
      <t>-1701</t>
    </r>
  </si>
  <si>
    <r>
      <t>2</t>
    </r>
    <r>
      <rPr>
        <sz val="9"/>
        <color theme="1"/>
        <rFont val="华文细黑"/>
        <family val="3"/>
        <charset val="134"/>
      </rPr>
      <t>单元</t>
    </r>
    <r>
      <rPr>
        <sz val="9"/>
        <color theme="1"/>
        <rFont val="Arial"/>
        <family val="2"/>
      </rPr>
      <t>-2102</t>
    </r>
  </si>
  <si>
    <r>
      <t>2</t>
    </r>
    <r>
      <rPr>
        <sz val="9"/>
        <color theme="1"/>
        <rFont val="华文细黑"/>
        <family val="3"/>
        <charset val="134"/>
      </rPr>
      <t>单元</t>
    </r>
    <r>
      <rPr>
        <sz val="9"/>
        <color theme="1"/>
        <rFont val="Arial"/>
        <family val="2"/>
      </rPr>
      <t>-2301</t>
    </r>
  </si>
  <si>
    <r>
      <t>2</t>
    </r>
    <r>
      <rPr>
        <sz val="9"/>
        <color theme="1"/>
        <rFont val="华文细黑"/>
        <family val="3"/>
        <charset val="134"/>
      </rPr>
      <t>单元</t>
    </r>
    <r>
      <rPr>
        <sz val="9"/>
        <color theme="1"/>
        <rFont val="Arial"/>
        <family val="2"/>
      </rPr>
      <t>-2501</t>
    </r>
  </si>
  <si>
    <r>
      <t>2</t>
    </r>
    <r>
      <rPr>
        <sz val="9"/>
        <color theme="1"/>
        <rFont val="华文细黑"/>
        <family val="3"/>
        <charset val="134"/>
      </rPr>
      <t>单元</t>
    </r>
    <r>
      <rPr>
        <sz val="9"/>
        <color theme="1"/>
        <rFont val="Arial"/>
        <family val="2"/>
      </rPr>
      <t>-2801</t>
    </r>
  </si>
  <si>
    <r>
      <t>2</t>
    </r>
    <r>
      <rPr>
        <sz val="9"/>
        <color theme="1"/>
        <rFont val="华文细黑"/>
        <family val="3"/>
        <charset val="134"/>
      </rPr>
      <t>单元</t>
    </r>
    <r>
      <rPr>
        <sz val="9"/>
        <color theme="1"/>
        <rFont val="Arial"/>
        <family val="2"/>
      </rPr>
      <t>-2802</t>
    </r>
  </si>
  <si>
    <r>
      <t>6</t>
    </r>
    <r>
      <rPr>
        <sz val="9"/>
        <color theme="1"/>
        <rFont val="华文细黑"/>
        <family val="3"/>
        <charset val="134"/>
      </rPr>
      <t>号楼</t>
    </r>
  </si>
  <si>
    <r>
      <t>2</t>
    </r>
    <r>
      <rPr>
        <sz val="9"/>
        <color theme="1"/>
        <rFont val="华文细黑"/>
        <family val="3"/>
        <charset val="134"/>
      </rPr>
      <t>单元</t>
    </r>
    <r>
      <rPr>
        <sz val="9"/>
        <color theme="1"/>
        <rFont val="Arial"/>
        <family val="2"/>
      </rPr>
      <t>-101</t>
    </r>
  </si>
  <si>
    <r>
      <t>4</t>
    </r>
    <r>
      <rPr>
        <sz val="9"/>
        <color theme="1"/>
        <rFont val="华文细黑"/>
        <family val="3"/>
        <charset val="134"/>
      </rPr>
      <t>号楼</t>
    </r>
  </si>
  <si>
    <r>
      <t>1</t>
    </r>
    <r>
      <rPr>
        <sz val="9"/>
        <color theme="1"/>
        <rFont val="华文细黑"/>
        <family val="3"/>
        <charset val="134"/>
      </rPr>
      <t>单元</t>
    </r>
    <r>
      <rPr>
        <sz val="9"/>
        <color theme="1"/>
        <rFont val="Arial"/>
        <family val="2"/>
      </rPr>
      <t>-601</t>
    </r>
  </si>
  <si>
    <r>
      <t>1</t>
    </r>
    <r>
      <rPr>
        <sz val="9"/>
        <color theme="1"/>
        <rFont val="华文细黑"/>
        <family val="3"/>
        <charset val="134"/>
      </rPr>
      <t>单元</t>
    </r>
    <r>
      <rPr>
        <sz val="9"/>
        <color theme="1"/>
        <rFont val="Arial"/>
        <family val="2"/>
      </rPr>
      <t>-1102</t>
    </r>
  </si>
  <si>
    <r>
      <t>1</t>
    </r>
    <r>
      <rPr>
        <sz val="9"/>
        <color theme="1"/>
        <rFont val="华文细黑"/>
        <family val="3"/>
        <charset val="134"/>
      </rPr>
      <t>单元</t>
    </r>
    <r>
      <rPr>
        <sz val="9"/>
        <color theme="1"/>
        <rFont val="Arial"/>
        <family val="2"/>
      </rPr>
      <t>-1601</t>
    </r>
  </si>
  <si>
    <r>
      <t>1</t>
    </r>
    <r>
      <rPr>
        <sz val="9"/>
        <color theme="1"/>
        <rFont val="华文细黑"/>
        <family val="3"/>
        <charset val="134"/>
      </rPr>
      <t>单元</t>
    </r>
    <r>
      <rPr>
        <sz val="9"/>
        <color theme="1"/>
        <rFont val="Arial"/>
        <family val="2"/>
      </rPr>
      <t>-1802</t>
    </r>
  </si>
  <si>
    <r>
      <t>1</t>
    </r>
    <r>
      <rPr>
        <sz val="9"/>
        <color theme="1"/>
        <rFont val="华文细黑"/>
        <family val="3"/>
        <charset val="134"/>
      </rPr>
      <t>单元</t>
    </r>
    <r>
      <rPr>
        <sz val="9"/>
        <color theme="1"/>
        <rFont val="Arial"/>
        <family val="2"/>
      </rPr>
      <t>-1901</t>
    </r>
  </si>
  <si>
    <r>
      <t>1</t>
    </r>
    <r>
      <rPr>
        <sz val="9"/>
        <color theme="1"/>
        <rFont val="华文细黑"/>
        <family val="3"/>
        <charset val="134"/>
      </rPr>
      <t>单元</t>
    </r>
    <r>
      <rPr>
        <sz val="9"/>
        <color theme="1"/>
        <rFont val="Arial"/>
        <family val="2"/>
      </rPr>
      <t>-1902</t>
    </r>
  </si>
  <si>
    <r>
      <t>1</t>
    </r>
    <r>
      <rPr>
        <sz val="9"/>
        <color theme="1"/>
        <rFont val="华文细黑"/>
        <family val="3"/>
        <charset val="134"/>
      </rPr>
      <t>单元</t>
    </r>
    <r>
      <rPr>
        <sz val="9"/>
        <color theme="1"/>
        <rFont val="Arial"/>
        <family val="2"/>
      </rPr>
      <t>-2102</t>
    </r>
  </si>
  <si>
    <r>
      <t>1</t>
    </r>
    <r>
      <rPr>
        <sz val="9"/>
        <color theme="1"/>
        <rFont val="华文细黑"/>
        <family val="3"/>
        <charset val="134"/>
      </rPr>
      <t>单元</t>
    </r>
    <r>
      <rPr>
        <sz val="9"/>
        <color theme="1"/>
        <rFont val="Arial"/>
        <family val="2"/>
      </rPr>
      <t>-2202</t>
    </r>
  </si>
  <si>
    <r>
      <t>1</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</si>
  <si>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-201</t>
    </r>
  </si>
  <si>
    <r>
      <t>2</t>
    </r>
    <r>
      <rPr>
        <sz val="9"/>
        <color theme="1"/>
        <rFont val="华文细黑"/>
        <family val="3"/>
        <charset val="134"/>
      </rPr>
      <t>单元</t>
    </r>
    <r>
      <rPr>
        <sz val="9"/>
        <color theme="1"/>
        <rFont val="Arial"/>
        <family val="2"/>
      </rPr>
      <t>-301</t>
    </r>
  </si>
  <si>
    <r>
      <t>2</t>
    </r>
    <r>
      <rPr>
        <sz val="9"/>
        <color theme="1"/>
        <rFont val="华文细黑"/>
        <family val="3"/>
        <charset val="134"/>
      </rPr>
      <t>单元</t>
    </r>
    <r>
      <rPr>
        <sz val="9"/>
        <color theme="1"/>
        <rFont val="Arial"/>
        <family val="2"/>
      </rPr>
      <t>-302</t>
    </r>
  </si>
  <si>
    <r>
      <t>2</t>
    </r>
    <r>
      <rPr>
        <sz val="9"/>
        <color theme="1"/>
        <rFont val="华文细黑"/>
        <family val="3"/>
        <charset val="134"/>
      </rPr>
      <t>单元</t>
    </r>
    <r>
      <rPr>
        <sz val="9"/>
        <color theme="1"/>
        <rFont val="Arial"/>
        <family val="2"/>
      </rPr>
      <t>-401</t>
    </r>
  </si>
  <si>
    <r>
      <t>2</t>
    </r>
    <r>
      <rPr>
        <sz val="9"/>
        <color theme="1"/>
        <rFont val="华文细黑"/>
        <family val="3"/>
        <charset val="134"/>
      </rPr>
      <t>单元</t>
    </r>
    <r>
      <rPr>
        <sz val="9"/>
        <color theme="1"/>
        <rFont val="Arial"/>
        <family val="2"/>
      </rPr>
      <t>-402</t>
    </r>
  </si>
  <si>
    <r>
      <t>2</t>
    </r>
    <r>
      <rPr>
        <sz val="9"/>
        <color theme="1"/>
        <rFont val="华文细黑"/>
        <family val="3"/>
        <charset val="134"/>
      </rPr>
      <t>单元</t>
    </r>
    <r>
      <rPr>
        <sz val="9"/>
        <color theme="1"/>
        <rFont val="Arial"/>
        <family val="2"/>
      </rPr>
      <t>-1402</t>
    </r>
  </si>
  <si>
    <r>
      <t>2</t>
    </r>
    <r>
      <rPr>
        <sz val="9"/>
        <color theme="1"/>
        <rFont val="华文细黑"/>
        <family val="3"/>
        <charset val="134"/>
      </rPr>
      <t>单元</t>
    </r>
    <r>
      <rPr>
        <sz val="9"/>
        <color theme="1"/>
        <rFont val="Arial"/>
        <family val="2"/>
      </rPr>
      <t>-1801</t>
    </r>
  </si>
  <si>
    <r>
      <t>2</t>
    </r>
    <r>
      <rPr>
        <sz val="9"/>
        <color theme="1"/>
        <rFont val="华文细黑"/>
        <family val="3"/>
        <charset val="134"/>
      </rPr>
      <t>单元</t>
    </r>
    <r>
      <rPr>
        <sz val="9"/>
        <color theme="1"/>
        <rFont val="Arial"/>
        <family val="2"/>
      </rPr>
      <t>-2002</t>
    </r>
  </si>
  <si>
    <r>
      <t>2</t>
    </r>
    <r>
      <rPr>
        <sz val="9"/>
        <color theme="1"/>
        <rFont val="华文细黑"/>
        <family val="3"/>
        <charset val="134"/>
      </rPr>
      <t>单元</t>
    </r>
    <r>
      <rPr>
        <sz val="9"/>
        <color theme="1"/>
        <rFont val="Arial"/>
        <family val="2"/>
      </rPr>
      <t>-2201</t>
    </r>
  </si>
  <si>
    <r>
      <t>2</t>
    </r>
    <r>
      <rPr>
        <sz val="9"/>
        <color theme="1"/>
        <rFont val="华文细黑"/>
        <family val="3"/>
        <charset val="134"/>
      </rPr>
      <t>单元</t>
    </r>
    <r>
      <rPr>
        <sz val="9"/>
        <color theme="1"/>
        <rFont val="Arial"/>
        <family val="2"/>
      </rPr>
      <t>-2202</t>
    </r>
  </si>
  <si>
    <r>
      <t>2</t>
    </r>
    <r>
      <rPr>
        <sz val="9"/>
        <color theme="1"/>
        <rFont val="华文细黑"/>
        <family val="3"/>
        <charset val="134"/>
      </rPr>
      <t>单元</t>
    </r>
    <r>
      <rPr>
        <sz val="9"/>
        <color theme="1"/>
        <rFont val="Arial"/>
        <family val="2"/>
      </rPr>
      <t>-2302</t>
    </r>
  </si>
  <si>
    <r>
      <t>2</t>
    </r>
    <r>
      <rPr>
        <sz val="9"/>
        <color theme="1"/>
        <rFont val="华文细黑"/>
        <family val="3"/>
        <charset val="134"/>
      </rPr>
      <t>单元</t>
    </r>
    <r>
      <rPr>
        <sz val="9"/>
        <color theme="1"/>
        <rFont val="Arial"/>
        <family val="2"/>
      </rPr>
      <t>-2401</t>
    </r>
  </si>
  <si>
    <r>
      <t>2</t>
    </r>
    <r>
      <rPr>
        <sz val="9"/>
        <color theme="1"/>
        <rFont val="华文细黑"/>
        <family val="3"/>
        <charset val="134"/>
      </rPr>
      <t>单元</t>
    </r>
    <r>
      <rPr>
        <sz val="9"/>
        <color theme="1"/>
        <rFont val="Arial"/>
        <family val="2"/>
      </rPr>
      <t>-2402</t>
    </r>
  </si>
  <si>
    <r>
      <t>2</t>
    </r>
    <r>
      <rPr>
        <sz val="9"/>
        <color theme="1"/>
        <rFont val="华文细黑"/>
        <family val="3"/>
        <charset val="134"/>
      </rPr>
      <t>单元</t>
    </r>
    <r>
      <rPr>
        <sz val="9"/>
        <color theme="1"/>
        <rFont val="Arial"/>
        <family val="2"/>
      </rPr>
      <t>-2502</t>
    </r>
  </si>
  <si>
    <r>
      <t>2</t>
    </r>
    <r>
      <rPr>
        <sz val="9"/>
        <color theme="1"/>
        <rFont val="华文细黑"/>
        <family val="3"/>
        <charset val="134"/>
      </rPr>
      <t>单元</t>
    </r>
    <r>
      <rPr>
        <sz val="9"/>
        <color theme="1"/>
        <rFont val="Arial"/>
        <family val="2"/>
      </rPr>
      <t>-2601</t>
    </r>
  </si>
  <si>
    <r>
      <t>2</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</si>
  <si>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-2701</t>
    </r>
  </si>
  <si>
    <r>
      <t>2</t>
    </r>
    <r>
      <rPr>
        <sz val="9"/>
        <color theme="1"/>
        <rFont val="华文细黑"/>
        <family val="3"/>
        <charset val="134"/>
      </rPr>
      <t>单元</t>
    </r>
    <r>
      <rPr>
        <sz val="9"/>
        <color theme="1"/>
        <rFont val="Arial"/>
        <family val="2"/>
      </rPr>
      <t>-2702</t>
    </r>
  </si>
  <si>
    <r>
      <t>5</t>
    </r>
    <r>
      <rPr>
        <sz val="9"/>
        <color theme="1"/>
        <rFont val="华文细黑"/>
        <family val="3"/>
        <charset val="134"/>
      </rPr>
      <t>号楼</t>
    </r>
  </si>
  <si>
    <r>
      <t>1</t>
    </r>
    <r>
      <rPr>
        <sz val="9"/>
        <color theme="1"/>
        <rFont val="华文细黑"/>
        <family val="3"/>
        <charset val="134"/>
      </rPr>
      <t>单元</t>
    </r>
    <r>
      <rPr>
        <sz val="9"/>
        <color theme="1"/>
        <rFont val="Arial"/>
        <family val="2"/>
      </rPr>
      <t>-201</t>
    </r>
  </si>
  <si>
    <r>
      <t>1</t>
    </r>
    <r>
      <rPr>
        <sz val="9"/>
        <color theme="1"/>
        <rFont val="华文细黑"/>
        <family val="3"/>
        <charset val="134"/>
      </rPr>
      <t>单元</t>
    </r>
    <r>
      <rPr>
        <sz val="9"/>
        <color theme="1"/>
        <rFont val="Arial"/>
        <family val="2"/>
      </rPr>
      <t>-202</t>
    </r>
  </si>
  <si>
    <r>
      <t>1</t>
    </r>
    <r>
      <rPr>
        <sz val="9"/>
        <color theme="1"/>
        <rFont val="华文细黑"/>
        <family val="3"/>
        <charset val="134"/>
      </rPr>
      <t>单元</t>
    </r>
    <r>
      <rPr>
        <sz val="9"/>
        <color theme="1"/>
        <rFont val="Arial"/>
        <family val="2"/>
      </rPr>
      <t>-702</t>
    </r>
  </si>
  <si>
    <r>
      <t>1</t>
    </r>
    <r>
      <rPr>
        <sz val="9"/>
        <color theme="1"/>
        <rFont val="华文细黑"/>
        <family val="3"/>
        <charset val="134"/>
      </rPr>
      <t>单元</t>
    </r>
    <r>
      <rPr>
        <sz val="9"/>
        <color theme="1"/>
        <rFont val="Arial"/>
        <family val="2"/>
      </rPr>
      <t>-802</t>
    </r>
  </si>
  <si>
    <r>
      <t>1</t>
    </r>
    <r>
      <rPr>
        <sz val="9"/>
        <color theme="1"/>
        <rFont val="华文细黑"/>
        <family val="3"/>
        <charset val="134"/>
      </rPr>
      <t>单元</t>
    </r>
    <r>
      <rPr>
        <sz val="9"/>
        <color theme="1"/>
        <rFont val="Arial"/>
        <family val="2"/>
      </rPr>
      <t>-901</t>
    </r>
  </si>
  <si>
    <r>
      <t>1</t>
    </r>
    <r>
      <rPr>
        <sz val="9"/>
        <color theme="1"/>
        <rFont val="华文细黑"/>
        <family val="3"/>
        <charset val="134"/>
      </rPr>
      <t>单元</t>
    </r>
    <r>
      <rPr>
        <sz val="9"/>
        <color theme="1"/>
        <rFont val="Arial"/>
        <family val="2"/>
      </rPr>
      <t>-902</t>
    </r>
  </si>
  <si>
    <r>
      <t>1</t>
    </r>
    <r>
      <rPr>
        <sz val="9"/>
        <color theme="1"/>
        <rFont val="华文细黑"/>
        <family val="3"/>
        <charset val="134"/>
      </rPr>
      <t>单元</t>
    </r>
    <r>
      <rPr>
        <sz val="9"/>
        <color theme="1"/>
        <rFont val="Arial"/>
        <family val="2"/>
      </rPr>
      <t>-1201</t>
    </r>
  </si>
  <si>
    <r>
      <t>1</t>
    </r>
    <r>
      <rPr>
        <sz val="9"/>
        <color theme="1"/>
        <rFont val="华文细黑"/>
        <family val="3"/>
        <charset val="134"/>
      </rPr>
      <t>单元</t>
    </r>
    <r>
      <rPr>
        <sz val="9"/>
        <color theme="1"/>
        <rFont val="Arial"/>
        <family val="2"/>
      </rPr>
      <t>-1301</t>
    </r>
  </si>
  <si>
    <r>
      <t>1</t>
    </r>
    <r>
      <rPr>
        <sz val="9"/>
        <color theme="1"/>
        <rFont val="华文细黑"/>
        <family val="3"/>
        <charset val="134"/>
      </rPr>
      <t>单元</t>
    </r>
    <r>
      <rPr>
        <sz val="9"/>
        <color theme="1"/>
        <rFont val="Arial"/>
        <family val="2"/>
      </rPr>
      <t>-1401</t>
    </r>
  </si>
  <si>
    <r>
      <t>1</t>
    </r>
    <r>
      <rPr>
        <sz val="9"/>
        <color theme="1"/>
        <rFont val="华文细黑"/>
        <family val="3"/>
        <charset val="134"/>
      </rPr>
      <t>单元</t>
    </r>
    <r>
      <rPr>
        <sz val="9"/>
        <color theme="1"/>
        <rFont val="Arial"/>
        <family val="2"/>
      </rPr>
      <t>-1402</t>
    </r>
  </si>
  <si>
    <r>
      <t>1</t>
    </r>
    <r>
      <rPr>
        <sz val="9"/>
        <color theme="1"/>
        <rFont val="华文细黑"/>
        <family val="3"/>
        <charset val="134"/>
      </rPr>
      <t>单元</t>
    </r>
    <r>
      <rPr>
        <sz val="9"/>
        <color theme="1"/>
        <rFont val="Arial"/>
        <family val="2"/>
      </rPr>
      <t>-1501</t>
    </r>
  </si>
  <si>
    <r>
      <t>1</t>
    </r>
    <r>
      <rPr>
        <sz val="9"/>
        <color theme="1"/>
        <rFont val="华文细黑"/>
        <family val="3"/>
        <charset val="134"/>
      </rPr>
      <t>单元</t>
    </r>
    <r>
      <rPr>
        <sz val="9"/>
        <color theme="1"/>
        <rFont val="Arial"/>
        <family val="2"/>
      </rPr>
      <t>-1702</t>
    </r>
  </si>
  <si>
    <r>
      <t>1</t>
    </r>
    <r>
      <rPr>
        <sz val="9"/>
        <color theme="1"/>
        <rFont val="华文细黑"/>
        <family val="3"/>
        <charset val="134"/>
      </rPr>
      <t>单元</t>
    </r>
    <r>
      <rPr>
        <sz val="9"/>
        <color theme="1"/>
        <rFont val="Arial"/>
        <family val="2"/>
      </rPr>
      <t>-2201</t>
    </r>
  </si>
  <si>
    <r>
      <t>1</t>
    </r>
    <r>
      <rPr>
        <sz val="9"/>
        <color theme="1"/>
        <rFont val="华文细黑"/>
        <family val="3"/>
        <charset val="134"/>
      </rPr>
      <t>单元</t>
    </r>
    <r>
      <rPr>
        <sz val="9"/>
        <color theme="1"/>
        <rFont val="Arial"/>
        <family val="2"/>
      </rPr>
      <t>-2301</t>
    </r>
  </si>
  <si>
    <r>
      <t>1</t>
    </r>
    <r>
      <rPr>
        <sz val="9"/>
        <color theme="1"/>
        <rFont val="华文细黑"/>
        <family val="3"/>
        <charset val="134"/>
      </rPr>
      <t>单元</t>
    </r>
    <r>
      <rPr>
        <sz val="9"/>
        <color theme="1"/>
        <rFont val="Arial"/>
        <family val="2"/>
      </rPr>
      <t>-2302</t>
    </r>
  </si>
  <si>
    <r>
      <t>1</t>
    </r>
    <r>
      <rPr>
        <sz val="9"/>
        <color theme="1"/>
        <rFont val="华文细黑"/>
        <family val="3"/>
        <charset val="134"/>
      </rPr>
      <t>单元</t>
    </r>
    <r>
      <rPr>
        <sz val="9"/>
        <color theme="1"/>
        <rFont val="Arial"/>
        <family val="2"/>
      </rPr>
      <t>-2401</t>
    </r>
  </si>
  <si>
    <r>
      <t>1</t>
    </r>
    <r>
      <rPr>
        <sz val="9"/>
        <color theme="1"/>
        <rFont val="华文细黑"/>
        <family val="3"/>
        <charset val="134"/>
      </rPr>
      <t>单元</t>
    </r>
    <r>
      <rPr>
        <sz val="9"/>
        <color theme="1"/>
        <rFont val="Arial"/>
        <family val="2"/>
      </rPr>
      <t>-2402</t>
    </r>
  </si>
  <si>
    <r>
      <t>1</t>
    </r>
    <r>
      <rPr>
        <sz val="9"/>
        <color theme="1"/>
        <rFont val="华文细黑"/>
        <family val="3"/>
        <charset val="134"/>
      </rPr>
      <t>单元</t>
    </r>
    <r>
      <rPr>
        <sz val="9"/>
        <color theme="1"/>
        <rFont val="Arial"/>
        <family val="2"/>
      </rPr>
      <t>-2601</t>
    </r>
  </si>
  <si>
    <r>
      <t>1</t>
    </r>
    <r>
      <rPr>
        <sz val="9"/>
        <color theme="1"/>
        <rFont val="华文细黑"/>
        <family val="3"/>
        <charset val="134"/>
      </rPr>
      <t>单元</t>
    </r>
    <r>
      <rPr>
        <sz val="9"/>
        <color theme="1"/>
        <rFont val="Arial"/>
        <family val="2"/>
      </rPr>
      <t>-2701</t>
    </r>
  </si>
  <si>
    <r>
      <t>1</t>
    </r>
    <r>
      <rPr>
        <sz val="9"/>
        <color theme="1"/>
        <rFont val="华文细黑"/>
        <family val="3"/>
        <charset val="134"/>
      </rPr>
      <t>单元</t>
    </r>
    <r>
      <rPr>
        <sz val="9"/>
        <color theme="1"/>
        <rFont val="Arial"/>
        <family val="2"/>
      </rPr>
      <t>-2702</t>
    </r>
  </si>
  <si>
    <r>
      <t>2</t>
    </r>
    <r>
      <rPr>
        <sz val="9"/>
        <color theme="1"/>
        <rFont val="华文细黑"/>
        <family val="3"/>
        <charset val="134"/>
      </rPr>
      <t>单元</t>
    </r>
    <r>
      <rPr>
        <sz val="9"/>
        <color theme="1"/>
        <rFont val="Arial"/>
        <family val="2"/>
      </rPr>
      <t>-1201</t>
    </r>
  </si>
  <si>
    <r>
      <t>2</t>
    </r>
    <r>
      <rPr>
        <sz val="9"/>
        <color theme="1"/>
        <rFont val="华文细黑"/>
        <family val="3"/>
        <charset val="134"/>
      </rPr>
      <t>单元</t>
    </r>
    <r>
      <rPr>
        <sz val="9"/>
        <color theme="1"/>
        <rFont val="Arial"/>
        <family val="2"/>
      </rPr>
      <t>-1202</t>
    </r>
  </si>
  <si>
    <r>
      <t>2</t>
    </r>
    <r>
      <rPr>
        <sz val="9"/>
        <color theme="1"/>
        <rFont val="华文细黑"/>
        <family val="3"/>
        <charset val="134"/>
      </rPr>
      <t>单元</t>
    </r>
    <r>
      <rPr>
        <sz val="9"/>
        <color theme="1"/>
        <rFont val="Arial"/>
        <family val="2"/>
      </rPr>
      <t>-1901</t>
    </r>
  </si>
  <si>
    <r>
      <t>2</t>
    </r>
    <r>
      <rPr>
        <sz val="9"/>
        <color theme="1"/>
        <rFont val="华文细黑"/>
        <family val="3"/>
        <charset val="134"/>
      </rPr>
      <t>单元</t>
    </r>
    <r>
      <rPr>
        <sz val="9"/>
        <color theme="1"/>
        <rFont val="Arial"/>
        <family val="2"/>
      </rPr>
      <t>-2101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</si>
</sst>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
      <sz val="10"/>
      <color rgb="FFFFFF00"/>
      <name val="Arial"/>
      <family val="2"/>
    </font>
    <font>
      <sz val="10"/>
      <color rgb="FFFFFF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7" fillId="8" borderId="1" xfId="0" applyFont="1" applyFill="1" applyBorder="1" applyProtection="1">
      <alignment vertical="center"/>
      <protection locked="0"/>
    </xf>
    <xf numFmtId="0" fontId="257" fillId="8" borderId="0" xfId="0" applyFont="1" applyFill="1" applyProtection="1">
      <alignment vertical="center"/>
      <protection locked="0"/>
    </xf>
    <xf numFmtId="0" fontId="130" fillId="13" borderId="43" xfId="10" applyFont="1" applyFill="1" applyBorder="1" applyAlignment="1">
      <alignment horizontal="center" vertical="center" wrapText="1"/>
    </xf>
    <xf numFmtId="0" fontId="175" fillId="13" borderId="43" xfId="10" applyFont="1" applyFill="1" applyBorder="1" applyAlignment="1">
      <alignment horizontal="center" vertical="center"/>
    </xf>
    <xf numFmtId="0" fontId="130" fillId="20" borderId="43" xfId="10" applyFont="1" applyFill="1" applyBorder="1" applyAlignment="1">
      <alignment horizontal="center" vertical="center" wrapText="1"/>
    </xf>
    <xf numFmtId="0" fontId="175" fillId="20" borderId="43" xfId="10" applyFont="1" applyFill="1" applyBorder="1" applyAlignment="1">
      <alignment horizontal="center" vertical="center"/>
    </xf>
    <xf numFmtId="0" fontId="259" fillId="0" borderId="82" xfId="0" applyFont="1" applyBorder="1" applyAlignment="1">
      <alignment horizontal="justify" vertical="center" wrapText="1"/>
    </xf>
    <xf numFmtId="0" fontId="259" fillId="0" borderId="65" xfId="0" applyFont="1" applyBorder="1" applyAlignment="1">
      <alignment horizontal="justify" vertical="center" wrapText="1"/>
    </xf>
    <xf numFmtId="0" fontId="260" fillId="0" borderId="81" xfId="0" applyFont="1" applyBorder="1" applyAlignment="1">
      <alignment horizontal="justify" vertical="center" wrapText="1"/>
    </xf>
    <xf numFmtId="0" fontId="260" fillId="0" borderId="43" xfId="0" applyFont="1" applyBorder="1" applyAlignment="1">
      <alignment horizontal="justify" vertical="center" wrapText="1"/>
    </xf>
    <xf numFmtId="0" fontId="260" fillId="0" borderId="43" xfId="0" applyFont="1" applyBorder="1" applyAlignment="1">
      <alignment horizontal="justify" vertical="center"/>
    </xf>
    <xf numFmtId="0" fontId="262" fillId="0" borderId="43" xfId="0" applyFont="1" applyBorder="1" applyAlignment="1">
      <alignment horizontal="justify" vertical="center"/>
    </xf>
    <xf numFmtId="0" fontId="262" fillId="0" borderId="43" xfId="0" applyFont="1" applyBorder="1" applyAlignment="1">
      <alignment horizontal="justify"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63" xfId="0" applyFont="1" applyBorder="1" applyAlignment="1">
      <alignment horizontal="justify" vertical="center" wrapText="1"/>
    </xf>
    <xf numFmtId="0" fontId="261" fillId="0" borderId="64" xfId="0" applyFont="1" applyBorder="1" applyAlignment="1">
      <alignment horizontal="justify" vertical="center" wrapText="1"/>
    </xf>
    <xf numFmtId="0" fontId="261" fillId="0" borderId="65" xfId="0" applyFont="1" applyBorder="1" applyAlignment="1">
      <alignment horizontal="justify" vertical="center" wrapText="1"/>
    </xf>
    <xf numFmtId="0" fontId="130" fillId="20" borderId="1" xfId="10" applyFont="1" applyFill="1" applyBorder="1" applyAlignment="1">
      <alignment horizontal="center" vertical="center" wrapText="1"/>
    </xf>
    <xf numFmtId="0" fontId="255" fillId="17" borderId="43" xfId="0" applyFont="1" applyFill="1" applyBorder="1" applyAlignment="1" applyProtection="1">
      <alignment horizontal="center" vertical="center" wrapText="1"/>
      <protection locked="0"/>
    </xf>
    <xf numFmtId="0" fontId="175" fillId="20" borderId="1" xfId="10" applyFont="1" applyFill="1" applyBorder="1" applyAlignment="1">
      <alignment horizontal="center" vertical="center"/>
    </xf>
    <xf numFmtId="0" fontId="0" fillId="17" borderId="43" xfId="0" applyFont="1" applyFill="1" applyBorder="1" applyAlignment="1" applyProtection="1">
      <alignment horizontal="center" vertical="center"/>
      <protection locked="0"/>
    </xf>
    <xf numFmtId="0" fontId="130" fillId="13" borderId="1" xfId="10" applyFont="1" applyFill="1" applyBorder="1" applyAlignment="1">
      <alignment horizontal="center" vertical="center" wrapText="1"/>
    </xf>
    <xf numFmtId="0" fontId="255" fillId="5" borderId="43" xfId="0" applyFont="1" applyFill="1" applyBorder="1" applyAlignment="1" applyProtection="1">
      <alignment horizontal="center" vertical="center" wrapText="1"/>
      <protection locked="0"/>
    </xf>
    <xf numFmtId="0" fontId="255" fillId="7" borderId="43" xfId="0" applyFont="1" applyFill="1" applyBorder="1" applyAlignment="1" applyProtection="1">
      <alignment horizontal="center" vertical="center" wrapText="1"/>
      <protection locked="0"/>
    </xf>
    <xf numFmtId="0" fontId="255" fillId="7" borderId="0" xfId="0" applyFont="1" applyFill="1" applyBorder="1" applyAlignment="1" applyProtection="1">
      <alignment horizontal="center" vertical="center" wrapText="1"/>
      <protection locked="0"/>
    </xf>
    <xf numFmtId="0" fontId="175" fillId="13" borderId="1" xfId="10" applyFont="1" applyFill="1" applyBorder="1" applyAlignment="1">
      <alignment horizontal="center" vertical="center"/>
    </xf>
    <xf numFmtId="0" fontId="260" fillId="0" borderId="0" xfId="0" applyFont="1" applyBorder="1" applyAlignment="1">
      <alignment horizontal="justify" vertical="center" wrapText="1"/>
    </xf>
    <xf numFmtId="0" fontId="0" fillId="0" borderId="43" xfId="0"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2017年10月9日（评估专业人员实地查勘之日）</v>
      </c>
    </row>
    <row r="13" spans="1:2" s="1597" customFormat="1">
      <c r="A13" s="1595" t="s">
        <v>1228</v>
      </c>
      <c r="B13" s="1596" t="str">
        <f>'预评函-1'!A18</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3548</v>
      </c>
    </row>
    <row r="21" spans="1:2" s="1597" customFormat="1">
      <c r="A21" s="1595" t="s">
        <v>1236</v>
      </c>
      <c r="B21" s="1596">
        <f ca="1">'预评函-2'!D7</f>
        <v>79621</v>
      </c>
    </row>
    <row r="22" spans="1:2" s="1597" customFormat="1">
      <c r="A22" s="1595" t="s">
        <v>1237</v>
      </c>
      <c r="B22" s="1596" t="str">
        <f ca="1">'预评函-2'!D6</f>
        <v>叁仟伍佰肆拾捌万元整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3548</v>
      </c>
    </row>
    <row r="31" spans="1:2" s="1597" customFormat="1">
      <c r="A31" s="1595" t="s">
        <v>1275</v>
      </c>
      <c r="B31" s="1596">
        <f ca="1">'预评函-2'!D15</f>
        <v>79621</v>
      </c>
    </row>
    <row r="32" spans="1:2" s="1597" customFormat="1">
      <c r="A32" s="1595" t="s">
        <v>1242</v>
      </c>
      <c r="B32" s="1596" t="str">
        <f ca="1">'预评函-2'!D14</f>
        <v>叁仟伍佰肆拾捌万元整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2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2"/>
      <c r="B54" s="2025" t="s">
        <v>864</v>
      </c>
      <c r="C54" s="2022" t="s">
        <v>1282</v>
      </c>
    </row>
    <row r="55" spans="1:4">
      <c r="A55" s="3022"/>
      <c r="B55" s="2025" t="s">
        <v>865</v>
      </c>
      <c r="C55" s="2022" t="s">
        <v>1283</v>
      </c>
    </row>
    <row r="56" spans="1:4">
      <c r="A56" s="3022"/>
      <c r="B56" s="2025" t="s">
        <v>866</v>
      </c>
      <c r="C56" s="2022" t="s">
        <v>1287</v>
      </c>
    </row>
    <row r="57" spans="1:4">
      <c r="A57" s="302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31" t="str">
        <f>IF(B10="北京市","北京市",C10)&amp;F10&amp;IF(结果表!G1="在建","出让国有建设用地使用权及在建建筑物",IF(结果表!G1="土地","出让国有建设用地使用权",))&amp;B9&amp;"预评估"</f>
        <v>北京市朝阳区霄云路8号院房地产抵押价值预评估</v>
      </c>
      <c r="C1" s="3032"/>
      <c r="D1" s="3032"/>
      <c r="E1" s="3032"/>
      <c r="F1" s="3032"/>
      <c r="G1" s="3032"/>
      <c r="H1" s="3032"/>
      <c r="I1" s="303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43017</v>
      </c>
      <c r="C3" s="2040" t="s">
        <v>1781</v>
      </c>
      <c r="D3" s="2039">
        <f>B3</f>
        <v>43017</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34" t="s">
        <v>1787</v>
      </c>
      <c r="E8" s="2057" t="s">
        <v>3049</v>
      </c>
      <c r="F8" s="2058"/>
      <c r="G8" s="2029"/>
      <c r="H8" s="2029"/>
      <c r="I8" s="2029"/>
      <c r="J8" s="2045"/>
      <c r="K8" s="2046"/>
      <c r="L8" s="2031"/>
      <c r="M8" s="2031"/>
      <c r="N8" s="2032"/>
      <c r="O8" s="2033"/>
      <c r="P8" s="2032"/>
      <c r="Q8" s="2032"/>
      <c r="R8" s="2032"/>
    </row>
    <row r="9" spans="1:19" ht="18" customHeight="1" thickBot="1">
      <c r="A9" s="2043" t="s">
        <v>1788</v>
      </c>
      <c r="B9" s="2059" t="s">
        <v>3049</v>
      </c>
      <c r="C9" s="2060"/>
      <c r="D9" s="3035"/>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57.23</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41" t="s">
        <v>3055</v>
      </c>
      <c r="C16" s="3042"/>
      <c r="D16" s="3043"/>
      <c r="E16" s="2085" t="s">
        <v>1804</v>
      </c>
      <c r="F16" s="3044" t="s">
        <v>3056</v>
      </c>
      <c r="G16" s="3045"/>
      <c r="H16" s="3045"/>
      <c r="I16" s="3046"/>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47" t="s">
        <v>3057</v>
      </c>
      <c r="F17" s="3048"/>
      <c r="G17" s="3048"/>
      <c r="H17" s="3048"/>
      <c r="I17" s="3049"/>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50" t="s">
        <v>3058</v>
      </c>
      <c r="F18" s="3051"/>
      <c r="G18" s="3051"/>
      <c r="H18" s="3051"/>
      <c r="I18" s="3052"/>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37" t="s">
        <v>1814</v>
      </c>
      <c r="C20" s="3038"/>
      <c r="D20" s="3039" t="s">
        <v>1815</v>
      </c>
      <c r="E20" s="3040"/>
      <c r="F20" s="2097" t="s">
        <v>1816</v>
      </c>
      <c r="G20" s="2045"/>
      <c r="H20" s="2045"/>
      <c r="I20" s="2045"/>
      <c r="J20" s="2045"/>
      <c r="K20" s="3036"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303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3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4"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4"/>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4"/>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5"/>
      <c r="B30" s="2038" t="s">
        <v>1831</v>
      </c>
      <c r="C30" s="3026"/>
      <c r="D30" s="302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8"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29"/>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29"/>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23" t="s">
        <v>1841</v>
      </c>
      <c r="T34" s="2134" t="str">
        <f>NUMBERSTRING(7-K34,1)&amp;"通"</f>
        <v>七通</v>
      </c>
      <c r="U34" s="2032"/>
      <c r="V34" s="2032"/>
    </row>
    <row r="35" spans="1:22" ht="18" customHeight="1">
      <c r="A35" s="2135"/>
      <c r="B35" s="3030" t="s">
        <v>1842</v>
      </c>
      <c r="C35" s="3030"/>
      <c r="D35" s="3030"/>
      <c r="E35" s="3030"/>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64" t="s">
        <v>1938</v>
      </c>
      <c r="B2" s="3064"/>
      <c r="C2" s="3064"/>
      <c r="D2" s="971" t="s">
        <v>1914</v>
      </c>
      <c r="E2" s="2227" t="s">
        <v>1915</v>
      </c>
      <c r="F2" s="1395"/>
      <c r="G2" s="2228"/>
      <c r="H2" s="2229"/>
      <c r="I2" s="2230" t="s">
        <v>1939</v>
      </c>
      <c r="J2" s="1395"/>
      <c r="K2" s="1395"/>
      <c r="L2" s="1395"/>
      <c r="M2" s="1395"/>
      <c r="N2" s="1430"/>
      <c r="O2" s="1395"/>
      <c r="P2" s="1395"/>
    </row>
    <row r="3" spans="1:16" ht="15.75" thickBot="1">
      <c r="A3" s="3065" t="s">
        <v>1912</v>
      </c>
      <c r="B3" s="3065"/>
      <c r="C3" s="3065"/>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66"/>
      <c r="B4" s="3067"/>
      <c r="C4" s="3068"/>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69" t="s">
        <v>1917</v>
      </c>
      <c r="C5" s="3069"/>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69" t="s">
        <v>1918</v>
      </c>
      <c r="C6" s="3069"/>
      <c r="D6" s="48">
        <f>ROUND($D$3*E6/$E$3,2)</f>
        <v>0</v>
      </c>
      <c r="E6" s="49">
        <f>E3-E5</f>
        <v>0</v>
      </c>
      <c r="F6" s="1395"/>
      <c r="G6" s="2235" t="s">
        <v>1919</v>
      </c>
      <c r="H6" s="1402" t="s">
        <v>1920</v>
      </c>
      <c r="I6" s="943" t="e">
        <f>ROUND(F31/D31,2)</f>
        <v>#DIV/0!</v>
      </c>
      <c r="J6" s="1395"/>
      <c r="K6" s="1395"/>
      <c r="L6" s="1395"/>
      <c r="M6" s="1395"/>
      <c r="N6" s="1395"/>
      <c r="O6" s="1395"/>
      <c r="P6" s="1395"/>
    </row>
    <row r="7" spans="1:16" ht="15">
      <c r="A7" s="3061"/>
      <c r="B7" s="3062"/>
      <c r="C7" s="3063"/>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58" t="s">
        <v>1942</v>
      </c>
      <c r="L16" s="3059"/>
      <c r="M16" s="3059"/>
      <c r="N16" s="3059"/>
      <c r="O16" s="3059"/>
      <c r="P16" s="3060"/>
    </row>
    <row r="17" spans="1:19" ht="15">
      <c r="A17" s="2242" t="s">
        <v>1943</v>
      </c>
      <c r="B17" s="2243" t="s">
        <v>1944</v>
      </c>
      <c r="C17" s="2244" t="s">
        <v>1945</v>
      </c>
      <c r="D17" s="2245" t="s">
        <v>1933</v>
      </c>
      <c r="E17" s="2246" t="s">
        <v>1934</v>
      </c>
      <c r="F17" s="2247"/>
      <c r="G17" s="2248"/>
      <c r="H17" s="2249" t="s">
        <v>1946</v>
      </c>
      <c r="I17" s="2250" t="s">
        <v>1931</v>
      </c>
      <c r="J17" s="1395"/>
      <c r="K17" s="3055" t="s">
        <v>1947</v>
      </c>
      <c r="L17" s="3056"/>
      <c r="M17" s="3057"/>
      <c r="N17" s="3055" t="s">
        <v>1948</v>
      </c>
      <c r="O17" s="3056"/>
      <c r="P17" s="3057"/>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43017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57.23</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84249</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3123</v>
      </c>
      <c r="AO6" s="55">
        <f ca="1">SUMIF(INDIRECT("'"&amp;AN6&amp;"'"&amp;"!A:A"),"总价",INDIRECT("'"&amp;AN6&amp;"'"&amp;"!B:B"))</f>
        <v>2019</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0" t="s">
        <v>2083</v>
      </c>
      <c r="B1" s="3071"/>
      <c r="C1" s="3071"/>
      <c r="D1" s="3071"/>
      <c r="E1" s="3071"/>
      <c r="F1" s="3071"/>
      <c r="G1" s="307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9" sqref="A29"/>
    </sheetView>
  </sheetViews>
  <sheetFormatPr defaultRowHeight="13.5"/>
  <cols>
    <col min="1" max="1" width="23.375" style="1742" customWidth="1"/>
    <col min="2" max="9" width="15.75" style="1742" customWidth="1"/>
    <col min="10" max="16384" width="9" style="1742"/>
  </cols>
  <sheetData>
    <row r="1" spans="1:10" ht="16.5">
      <c r="A1" s="1747" t="s">
        <v>1366</v>
      </c>
      <c r="B1" s="1747">
        <f>SUM(B14:B23)</f>
        <v>44252.679999999971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43017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393913</v>
      </c>
      <c r="C5" s="1747">
        <f ca="1">ROUND(B5*10000/$B$1,0)</f>
        <v>89014</v>
      </c>
      <c r="D5" s="1747" t="e">
        <f ca="1">ROUND(B5*10000/$B$2,0)</f>
        <v>#DIV/0!</v>
      </c>
      <c r="E5" s="1746"/>
      <c r="F5" s="1744"/>
      <c r="G5" s="1744"/>
    </row>
    <row r="6" spans="1:10" ht="16.5">
      <c r="A6" s="1747" t="s">
        <v>1357</v>
      </c>
      <c r="B6" s="1747">
        <f ca="1">SUM(G14:G23)</f>
        <v>393913</v>
      </c>
      <c r="C6" s="1747">
        <f ca="1">ROUND(B6*10000/$B$1,0)</f>
        <v>89014</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3548</v>
      </c>
      <c r="E14" s="1745">
        <f ca="1">ROUND(D14*10000/B14,0)</f>
        <v>79621</v>
      </c>
      <c r="F14" s="1745" t="e">
        <f ca="1">ROUND(D14*10000/C14,0)</f>
        <v>#DIV/0!</v>
      </c>
      <c r="G14" s="1745">
        <f ca="1">结果表!D122</f>
        <v>3548</v>
      </c>
      <c r="H14" s="1745" t="str">
        <f>结果表!D124</f>
        <v>——</v>
      </c>
      <c r="I14" s="1745" t="str">
        <f>结果表!D126</f>
        <v>——</v>
      </c>
      <c r="J14" s="1744"/>
    </row>
    <row r="15" spans="1:10" ht="16.5">
      <c r="A15" s="1743" t="s">
        <v>1350</v>
      </c>
      <c r="B15" s="1750">
        <f>SUM(典型户型修正!B25:'典型户型修正'!B103)</f>
        <v>43807.069999999971</v>
      </c>
      <c r="C15" s="1750"/>
      <c r="D15" s="1750">
        <f ca="1">SUM(典型户型修正!S25:'典型户型修正'!S103)</f>
        <v>390365</v>
      </c>
      <c r="E15" s="1745">
        <f t="shared" ref="E15:E23" ca="1" si="0">ROUND(D15*10000/B15,0)</f>
        <v>89110</v>
      </c>
      <c r="F15" s="1745" t="e">
        <f t="shared" ref="F15:F23" ca="1" si="1">ROUND(D15*10000/C15,0)</f>
        <v>#DIV/0!</v>
      </c>
      <c r="G15" s="1751">
        <f ca="1">D15</f>
        <v>390365</v>
      </c>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105" t="str">
        <f>项目基本情况!S2</f>
        <v>北京市朝阳区霄云路8号院房地产</v>
      </c>
      <c r="B2" s="3106"/>
      <c r="C2" s="3106"/>
      <c r="D2" s="3106"/>
      <c r="E2" s="3106"/>
      <c r="F2" s="3106"/>
      <c r="G2" s="3106"/>
      <c r="H2" s="3106"/>
      <c r="I2" s="3107"/>
    </row>
    <row r="3" spans="1:12" ht="12.75">
      <c r="A3" s="3109" t="s">
        <v>2122</v>
      </c>
      <c r="B3" s="3110"/>
      <c r="C3" s="3110"/>
      <c r="D3" s="3110"/>
      <c r="E3" s="3110"/>
      <c r="F3" s="3110"/>
      <c r="G3" s="3110"/>
      <c r="H3" s="3110"/>
      <c r="I3" s="3110"/>
    </row>
    <row r="4" spans="1:12" ht="14.25">
      <c r="A4" s="2426" t="s">
        <v>2123</v>
      </c>
      <c r="B4" s="2427" t="s">
        <v>2124</v>
      </c>
      <c r="C4" s="2428" t="s">
        <v>3122</v>
      </c>
      <c r="D4" s="2428" t="s">
        <v>3123</v>
      </c>
      <c r="E4" s="3102" t="s">
        <v>2125</v>
      </c>
      <c r="F4" s="3103"/>
      <c r="G4" s="3103"/>
      <c r="H4" s="3103"/>
      <c r="I4" s="311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5" t="s">
        <v>2126</v>
      </c>
      <c r="B5" s="3023">
        <v>25</v>
      </c>
      <c r="C5" s="3088"/>
      <c r="D5" s="3108"/>
      <c r="E5" s="140" t="s">
        <v>2127</v>
      </c>
      <c r="F5" s="2430"/>
      <c r="G5" s="2430"/>
      <c r="H5" s="2430"/>
      <c r="I5" s="1834"/>
    </row>
    <row r="6" spans="1:12" ht="12.75">
      <c r="A6" s="3085"/>
      <c r="B6" s="3023"/>
      <c r="C6" s="3089"/>
      <c r="D6" s="3108"/>
      <c r="E6" s="140" t="s">
        <v>2128</v>
      </c>
      <c r="F6" s="2430"/>
      <c r="G6" s="2430"/>
      <c r="H6" s="2430"/>
      <c r="I6" s="1834"/>
    </row>
    <row r="7" spans="1:12" ht="12.75">
      <c r="A7" s="3085"/>
      <c r="B7" s="3023"/>
      <c r="C7" s="3090"/>
      <c r="D7" s="3108"/>
      <c r="E7" s="140" t="s">
        <v>2129</v>
      </c>
      <c r="F7" s="2430"/>
      <c r="G7" s="2430"/>
      <c r="H7" s="2430"/>
      <c r="I7" s="1834"/>
    </row>
    <row r="8" spans="1:12" ht="12.75">
      <c r="A8" s="3085" t="s">
        <v>2130</v>
      </c>
      <c r="B8" s="3023">
        <v>15</v>
      </c>
      <c r="C8" s="3088"/>
      <c r="D8" s="3108"/>
      <c r="E8" s="140" t="s">
        <v>2131</v>
      </c>
      <c r="F8" s="2430"/>
      <c r="G8" s="2430"/>
      <c r="H8" s="2430"/>
      <c r="I8" s="1834"/>
    </row>
    <row r="9" spans="1:12" ht="12.75">
      <c r="A9" s="3085"/>
      <c r="B9" s="3023"/>
      <c r="C9" s="3090"/>
      <c r="D9" s="3108"/>
      <c r="E9" s="140" t="s">
        <v>2132</v>
      </c>
      <c r="F9" s="2430"/>
      <c r="G9" s="2430"/>
      <c r="H9" s="2430"/>
      <c r="I9" s="1834"/>
    </row>
    <row r="10" spans="1:12" ht="12.75">
      <c r="A10" s="3085" t="s">
        <v>2133</v>
      </c>
      <c r="B10" s="3023">
        <v>15</v>
      </c>
      <c r="C10" s="3088"/>
      <c r="D10" s="3108"/>
      <c r="E10" s="140" t="s">
        <v>2134</v>
      </c>
      <c r="F10" s="2430"/>
      <c r="G10" s="2430"/>
      <c r="H10" s="2430"/>
      <c r="I10" s="1834"/>
    </row>
    <row r="11" spans="1:12" ht="12.75">
      <c r="A11" s="3085"/>
      <c r="B11" s="3023"/>
      <c r="C11" s="3090"/>
      <c r="D11" s="3108"/>
      <c r="E11" s="140" t="s">
        <v>2135</v>
      </c>
      <c r="F11" s="2430"/>
      <c r="G11" s="2430"/>
      <c r="H11" s="2430"/>
      <c r="I11" s="1834"/>
    </row>
    <row r="12" spans="1:12" ht="12.75">
      <c r="A12" s="3085" t="s">
        <v>2136</v>
      </c>
      <c r="B12" s="3023">
        <v>15</v>
      </c>
      <c r="C12" s="3088"/>
      <c r="D12" s="3108"/>
      <c r="E12" s="140" t="s">
        <v>2137</v>
      </c>
      <c r="F12" s="2430"/>
      <c r="G12" s="2430"/>
      <c r="H12" s="2430"/>
      <c r="I12" s="1834"/>
    </row>
    <row r="13" spans="1:12" ht="12.75">
      <c r="A13" s="3085"/>
      <c r="B13" s="3023"/>
      <c r="C13" s="3090"/>
      <c r="D13" s="3108"/>
      <c r="E13" s="140" t="s">
        <v>2138</v>
      </c>
      <c r="F13" s="2430"/>
      <c r="G13" s="2430"/>
      <c r="H13" s="2430"/>
      <c r="I13" s="1834"/>
    </row>
    <row r="14" spans="1:12" ht="12.75">
      <c r="A14" s="3085" t="s">
        <v>2139</v>
      </c>
      <c r="B14" s="3023">
        <v>30</v>
      </c>
      <c r="C14" s="3088">
        <v>7</v>
      </c>
      <c r="D14" s="3108">
        <v>3</v>
      </c>
      <c r="E14" s="140" t="s">
        <v>2140</v>
      </c>
      <c r="F14" s="2430"/>
      <c r="G14" s="2430"/>
      <c r="H14" s="2430"/>
      <c r="I14" s="1834"/>
    </row>
    <row r="15" spans="1:12" ht="12.75">
      <c r="A15" s="3085"/>
      <c r="B15" s="3023"/>
      <c r="C15" s="3089"/>
      <c r="D15" s="3108"/>
      <c r="E15" s="140" t="s">
        <v>2141</v>
      </c>
      <c r="F15" s="2430"/>
      <c r="G15" s="2430"/>
      <c r="H15" s="2430"/>
      <c r="I15" s="1834"/>
    </row>
    <row r="16" spans="1:12" ht="12.75">
      <c r="A16" s="3085"/>
      <c r="B16" s="3023"/>
      <c r="C16" s="3090"/>
      <c r="D16" s="3108"/>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4203</v>
      </c>
      <c r="D19" s="144">
        <f ca="1">SUMIF(INDIRECT("'"&amp;D4&amp;"'"&amp;"!A:A"),结果表!B19,INDIRECT("'"&amp;D4&amp;"'"&amp;"!B:B"))</f>
        <v>2019</v>
      </c>
      <c r="E19" s="2435" t="s">
        <v>2150</v>
      </c>
      <c r="F19" s="2436" t="s">
        <v>2149</v>
      </c>
      <c r="G19" s="145">
        <f ca="1">ROUND(C19*$C$18+D19*$D$18,0)</f>
        <v>3548</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94325</v>
      </c>
      <c r="D20" s="147">
        <f ca="1">SUMIF(INDIRECT("'"&amp;D4&amp;"'"&amp;"!A:A"),结果表!B20,INDIRECT("'"&amp;D4&amp;"'"&amp;"!B:B"))</f>
        <v>45314</v>
      </c>
      <c r="E20" s="2438"/>
      <c r="F20" s="1250" t="s">
        <v>2153</v>
      </c>
      <c r="G20" s="148">
        <f ca="1">ROUND(C20*$C$18+D20*$D$18,0)</f>
        <v>79622</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1.0817236255572067</v>
      </c>
      <c r="E22" s="138"/>
      <c r="F22" s="138"/>
      <c r="G22" s="138"/>
      <c r="H22" s="138"/>
      <c r="I22" s="138"/>
    </row>
    <row r="23" spans="1:35" ht="13.5" thickBot="1">
      <c r="A23" s="2419"/>
      <c r="B23" s="2419"/>
      <c r="C23" s="2419"/>
      <c r="D23" s="2419"/>
      <c r="E23" s="138"/>
      <c r="F23" s="138"/>
      <c r="G23" s="138"/>
      <c r="H23" s="138"/>
      <c r="I23" s="138"/>
    </row>
    <row r="24" spans="1:35" ht="14.25">
      <c r="A24" s="3079" t="s">
        <v>2157</v>
      </c>
      <c r="B24" s="2436" t="s">
        <v>2149</v>
      </c>
      <c r="C24" s="145">
        <f>IF(B30=0,0,D30)</f>
        <v>0</v>
      </c>
      <c r="D24" s="2443"/>
      <c r="E24" s="138"/>
      <c r="F24" s="138"/>
      <c r="G24" s="138"/>
      <c r="H24" s="138"/>
      <c r="I24" s="138"/>
    </row>
    <row r="25" spans="1:35" ht="14.25">
      <c r="A25" s="3080"/>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3548</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097" t="s">
        <v>2171</v>
      </c>
      <c r="B36" s="2462" t="s">
        <v>2172</v>
      </c>
      <c r="C36" s="155"/>
      <c r="D36" s="2463"/>
      <c r="E36" s="2464"/>
      <c r="F36" s="2465"/>
      <c r="G36" s="138"/>
      <c r="H36" s="138"/>
      <c r="I36" s="138"/>
    </row>
    <row r="37" spans="1:15" ht="15.75" thickBot="1">
      <c r="A37" s="3098"/>
      <c r="B37" s="2267" t="s">
        <v>2173</v>
      </c>
      <c r="C37" s="157"/>
      <c r="D37" s="1395"/>
      <c r="E37" s="1395"/>
      <c r="F37" s="2465"/>
      <c r="G37" s="138"/>
      <c r="H37" s="138"/>
      <c r="I37" s="138"/>
    </row>
    <row r="38" spans="1:15" ht="15.75" thickBot="1">
      <c r="A38" s="3099"/>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76" t="s">
        <v>2185</v>
      </c>
      <c r="B45" s="3077"/>
      <c r="C45" s="3078"/>
      <c r="D45" s="165">
        <f ca="1">ROUND(H101*F45,0)</f>
        <v>3548</v>
      </c>
      <c r="E45" s="166" t="s">
        <v>2186</v>
      </c>
      <c r="F45" s="167">
        <v>1</v>
      </c>
      <c r="G45" s="168" t="s">
        <v>2187</v>
      </c>
      <c r="H45" s="138"/>
      <c r="I45" s="138"/>
      <c r="J45" s="3136" t="s">
        <v>2188</v>
      </c>
      <c r="K45" s="3136"/>
      <c r="L45" s="3136"/>
      <c r="M45" s="3136"/>
      <c r="N45" s="3136"/>
      <c r="O45" s="3136"/>
    </row>
    <row r="46" spans="1:15" ht="14.25" customHeight="1">
      <c r="A46" s="3073" t="s">
        <v>2189</v>
      </c>
      <c r="B46" s="3074"/>
      <c r="C46" s="3074"/>
      <c r="D46" s="3074"/>
      <c r="E46" s="3074"/>
      <c r="F46" s="3074"/>
      <c r="G46" s="3075"/>
      <c r="H46" s="2481"/>
      <c r="I46" s="169"/>
      <c r="J46" s="1812">
        <v>1</v>
      </c>
      <c r="K46" s="3136" t="s">
        <v>2190</v>
      </c>
      <c r="L46" s="3136"/>
      <c r="M46" s="3156"/>
      <c r="N46" s="3156"/>
      <c r="O46" s="3156"/>
    </row>
    <row r="47" spans="1:15" ht="12" customHeight="1">
      <c r="A47" s="170" t="s">
        <v>2191</v>
      </c>
      <c r="B47" s="171"/>
      <c r="C47" s="172"/>
      <c r="D47" s="173" t="s">
        <v>2192</v>
      </c>
      <c r="E47" s="24" t="s">
        <v>2193</v>
      </c>
      <c r="F47" s="174" t="s">
        <v>2194</v>
      </c>
      <c r="G47" s="175" t="s">
        <v>2195</v>
      </c>
      <c r="H47" s="2481"/>
      <c r="I47" s="169"/>
      <c r="J47" s="1812">
        <v>2</v>
      </c>
      <c r="K47" s="3136" t="s">
        <v>2196</v>
      </c>
      <c r="L47" s="3136"/>
      <c r="M47" s="3157">
        <f>'数据-取费表'!B2</f>
        <v>43017</v>
      </c>
      <c r="N47" s="3157"/>
      <c r="O47" s="3157"/>
    </row>
    <row r="48" spans="1:15" ht="25.5">
      <c r="A48" s="3104" t="s">
        <v>2197</v>
      </c>
      <c r="B48" s="3087"/>
      <c r="C48" s="3087"/>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136" t="s">
        <v>2200</v>
      </c>
      <c r="L48" s="3136"/>
      <c r="M48" s="3158">
        <f ca="1">H101</f>
        <v>3548</v>
      </c>
      <c r="N48" s="3158"/>
      <c r="O48" s="3158"/>
    </row>
    <row r="49" spans="1:35" ht="25.5" customHeight="1">
      <c r="A49" s="177" t="s">
        <v>2201</v>
      </c>
      <c r="B49" s="3072" t="s">
        <v>2202</v>
      </c>
      <c r="C49" s="3072"/>
      <c r="D49" s="178">
        <v>0</v>
      </c>
      <c r="E49" s="23" t="s">
        <v>2203</v>
      </c>
      <c r="F49" s="28" t="s">
        <v>34</v>
      </c>
      <c r="G49" s="3142"/>
      <c r="H49" s="138"/>
      <c r="I49" s="2484"/>
      <c r="J49" s="1812">
        <v>4</v>
      </c>
      <c r="K49" s="3136" t="str">
        <f>IF(项目基本情况!E8="房地产抵押价值","房地产抵押价值","抵押担保权已注销时的房地产抵押价值")</f>
        <v>房地产抵押价值</v>
      </c>
      <c r="L49" s="3136"/>
      <c r="M49" s="3158">
        <f ca="1">IF(项目基本情况!E8="房地产抵押价值",H107,H109)</f>
        <v>3548</v>
      </c>
      <c r="N49" s="3158"/>
      <c r="O49" s="3158"/>
    </row>
    <row r="50" spans="1:35" ht="25.5" customHeight="1">
      <c r="A50" s="179"/>
      <c r="B50" s="3072" t="s">
        <v>2204</v>
      </c>
      <c r="C50" s="3072"/>
      <c r="D50" s="180"/>
      <c r="E50" s="31"/>
      <c r="F50" s="181"/>
      <c r="G50" s="3143"/>
      <c r="H50" s="138"/>
      <c r="I50" s="2484"/>
      <c r="J50" s="3136" t="s">
        <v>2205</v>
      </c>
      <c r="K50" s="3136"/>
      <c r="L50" s="3136"/>
      <c r="M50" s="3136"/>
      <c r="N50" s="3136"/>
      <c r="O50" s="3136"/>
    </row>
    <row r="51" spans="1:35" ht="12" customHeight="1">
      <c r="A51" s="182"/>
      <c r="B51" s="3072" t="s">
        <v>2206</v>
      </c>
      <c r="C51" s="3072"/>
      <c r="D51" s="183"/>
      <c r="E51" s="30"/>
      <c r="F51" s="181"/>
      <c r="G51" s="3144"/>
      <c r="H51" s="138"/>
      <c r="I51" s="2484"/>
      <c r="J51" s="2485" t="s">
        <v>2207</v>
      </c>
      <c r="K51" s="3136" t="s">
        <v>2208</v>
      </c>
      <c r="L51" s="3136"/>
      <c r="M51" s="2485" t="s">
        <v>2209</v>
      </c>
      <c r="N51" s="2485" t="s">
        <v>2210</v>
      </c>
      <c r="O51" s="2485" t="s">
        <v>2211</v>
      </c>
    </row>
    <row r="52" spans="1:35" ht="24" customHeight="1">
      <c r="A52" s="184" t="s">
        <v>2212</v>
      </c>
      <c r="B52" s="3072" t="s">
        <v>2213</v>
      </c>
      <c r="C52" s="3072"/>
      <c r="D52" s="183">
        <f ca="1">ROUND(D45*'数据-取费表'!B41/(1+'数据-取费表'!C42),0)</f>
        <v>189</v>
      </c>
      <c r="E52" s="11" t="s">
        <v>2214</v>
      </c>
      <c r="F52" s="185">
        <f>'数据-取费表'!B41</f>
        <v>5.6000000000000001E-2</v>
      </c>
      <c r="G52" s="2486"/>
      <c r="H52" s="138"/>
      <c r="I52" s="2484"/>
      <c r="J52" s="1812">
        <v>1</v>
      </c>
      <c r="K52" s="3137" t="s">
        <v>2215</v>
      </c>
      <c r="L52" s="3137"/>
      <c r="M52" s="1755">
        <f>D48</f>
        <v>0</v>
      </c>
      <c r="N52" s="1812" t="str">
        <f>E48</f>
        <v>销售额×税（费）率</v>
      </c>
      <c r="O52" s="1756" t="str">
        <f>F48</f>
        <v>免征</v>
      </c>
    </row>
    <row r="53" spans="1:35" ht="12" customHeight="1">
      <c r="A53" s="184" t="s">
        <v>2216</v>
      </c>
      <c r="B53" s="3095" t="s">
        <v>2217</v>
      </c>
      <c r="C53" s="3096"/>
      <c r="D53" s="183">
        <f ca="1">ROUND(D45*'数据-取费表'!B41/(1+'数据-取费表'!C42),0)</f>
        <v>189</v>
      </c>
      <c r="E53" s="11" t="s">
        <v>2214</v>
      </c>
      <c r="F53" s="185">
        <f>'数据-取费表'!B41</f>
        <v>5.6000000000000001E-2</v>
      </c>
      <c r="G53" s="2486"/>
      <c r="H53" s="138"/>
      <c r="I53" s="2484"/>
      <c r="J53" s="1812">
        <v>2</v>
      </c>
      <c r="K53" s="3137" t="s">
        <v>2218</v>
      </c>
      <c r="L53" s="3137"/>
      <c r="M53" s="1755">
        <f t="shared" ref="M53:O54" ca="1" si="0">D55</f>
        <v>2</v>
      </c>
      <c r="N53" s="1812" t="str">
        <f t="shared" si="0"/>
        <v>销售额×税（费）率</v>
      </c>
      <c r="O53" s="1756">
        <f t="shared" si="0"/>
        <v>5.0000000000000001E-4</v>
      </c>
    </row>
    <row r="54" spans="1:35" ht="12" customHeight="1">
      <c r="A54" s="184" t="s">
        <v>2219</v>
      </c>
      <c r="B54" s="3095" t="s">
        <v>2220</v>
      </c>
      <c r="C54" s="3096"/>
      <c r="D54" s="183">
        <f ca="1">C68</f>
        <v>189</v>
      </c>
      <c r="E54" s="30" t="s">
        <v>2221</v>
      </c>
      <c r="F54" s="185">
        <f>'数据-取费表'!B41</f>
        <v>5.6000000000000001E-2</v>
      </c>
      <c r="G54" s="2486"/>
      <c r="H54" s="2487"/>
      <c r="I54" s="2484"/>
      <c r="J54" s="1812">
        <v>3</v>
      </c>
      <c r="K54" s="3137" t="s">
        <v>2222</v>
      </c>
      <c r="L54" s="3137"/>
      <c r="M54" s="1755">
        <f t="shared" ca="1" si="0"/>
        <v>2008</v>
      </c>
      <c r="N54" s="1812" t="str">
        <f t="shared" si="0"/>
        <v>增值额×税（费）率</v>
      </c>
      <c r="O54" s="1757" t="str">
        <f t="shared" si="0"/>
        <v>——</v>
      </c>
    </row>
    <row r="55" spans="1:35" ht="24" customHeight="1">
      <c r="A55" s="3086" t="s">
        <v>2223</v>
      </c>
      <c r="B55" s="3087"/>
      <c r="C55" s="3087"/>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137" t="str">
        <f>IF(H59="非个人房产","——","个人所得税")</f>
        <v>——</v>
      </c>
      <c r="L55" s="3137"/>
      <c r="M55" s="1758" t="str">
        <f>D59</f>
        <v>——</v>
      </c>
      <c r="N55" s="1810" t="str">
        <f>E59</f>
        <v>——</v>
      </c>
      <c r="O55" s="1759" t="str">
        <f>F59</f>
        <v>——</v>
      </c>
    </row>
    <row r="56" spans="1:35" ht="24.75">
      <c r="A56" s="3086" t="s">
        <v>2226</v>
      </c>
      <c r="B56" s="3087"/>
      <c r="C56" s="3087"/>
      <c r="D56" s="186">
        <f ca="1">IF(H56="个人住宅",D57,D58)</f>
        <v>2008</v>
      </c>
      <c r="E56" s="11" t="s">
        <v>2227</v>
      </c>
      <c r="F56" s="185" t="str">
        <f>IF(H56="正常",F58,"免征")</f>
        <v>——</v>
      </c>
      <c r="G56" s="2488" t="s">
        <v>2228</v>
      </c>
      <c r="H56" s="2489" t="s">
        <v>2225</v>
      </c>
      <c r="I56" s="2490"/>
      <c r="J56" s="1812" t="str">
        <f>IF(项目基本情况!K6="上海银行",IF(J55="",4,J55+1),"")</f>
        <v/>
      </c>
      <c r="K56" s="3160" t="str">
        <f>IF(项目基本情况!K6="上海银行","其他处置费用","")</f>
        <v/>
      </c>
      <c r="L56" s="3161"/>
      <c r="M56" s="1755" t="str">
        <f>IF(项目基本情况!K6="上海银行",M69,"")</f>
        <v/>
      </c>
      <c r="N56" s="3163" t="str">
        <f>IF(项目基本情况!K6="上海银行","包含处置中涉及的律师、诉讼、拍卖、评估等费用","")</f>
        <v/>
      </c>
      <c r="O56" s="3164"/>
    </row>
    <row r="57" spans="1:35" ht="12.75">
      <c r="A57" s="184" t="s">
        <v>2201</v>
      </c>
      <c r="B57" s="3102" t="s">
        <v>2229</v>
      </c>
      <c r="C57" s="3111"/>
      <c r="D57" s="188">
        <v>0</v>
      </c>
      <c r="E57" s="23" t="s">
        <v>2203</v>
      </c>
      <c r="F57" s="156"/>
      <c r="G57" s="2486"/>
      <c r="H57" s="2490"/>
      <c r="I57" s="2490"/>
      <c r="J57" s="3137">
        <f>IF(AND(J55="",J56=""),4,IF(项目基本情况!K6="上海银行",结果表!J56+1,结果表!J55+1))</f>
        <v>4</v>
      </c>
      <c r="K57" s="3137" t="s">
        <v>2230</v>
      </c>
      <c r="L57" s="2491" t="s">
        <v>2231</v>
      </c>
      <c r="M57" s="1760"/>
      <c r="N57" s="1761">
        <f ca="1">SUMIF(M52:M56,"&lt;9e307")</f>
        <v>2010</v>
      </c>
      <c r="O57" s="2492"/>
      <c r="P57" s="1754">
        <f ca="1">N57/M49</f>
        <v>0.56651634723788047</v>
      </c>
    </row>
    <row r="58" spans="1:35" ht="24.75">
      <c r="A58" s="184" t="s">
        <v>2212</v>
      </c>
      <c r="B58" s="3102" t="s">
        <v>2232</v>
      </c>
      <c r="C58" s="3103"/>
      <c r="D58" s="186">
        <f ca="1">IF(H58="转让取得",C81,C97)</f>
        <v>2008</v>
      </c>
      <c r="E58" s="11" t="s">
        <v>2227</v>
      </c>
      <c r="F58" s="24" t="s">
        <v>34</v>
      </c>
      <c r="G58" s="2486"/>
      <c r="H58" s="2489" t="s">
        <v>2233</v>
      </c>
      <c r="I58" s="2490"/>
      <c r="J58" s="3137"/>
      <c r="K58" s="3137"/>
      <c r="L58" s="2491" t="s">
        <v>2234</v>
      </c>
      <c r="M58" s="1762"/>
      <c r="N58" s="2493" t="str">
        <f ca="1">NUMBERSTRING(INT(N57*10000),2)&amp;"元整"</f>
        <v>贰仟零壹拾万元整</v>
      </c>
      <c r="O58" s="2494"/>
    </row>
    <row r="59" spans="1:35" ht="24.75" thickBot="1">
      <c r="A59" s="3140" t="s">
        <v>2235</v>
      </c>
      <c r="B59" s="3141"/>
      <c r="C59" s="3141"/>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138">
        <f>J57+1</f>
        <v>5</v>
      </c>
      <c r="K59" s="3137" t="s">
        <v>2237</v>
      </c>
      <c r="L59" s="1812" t="s">
        <v>2231</v>
      </c>
      <c r="M59" s="1763"/>
      <c r="N59" s="1764">
        <f ca="1">M49-N57</f>
        <v>1538</v>
      </c>
      <c r="O59" s="2496"/>
    </row>
    <row r="60" spans="1:35" ht="12" customHeight="1">
      <c r="A60" s="2497"/>
      <c r="B60" s="2419"/>
      <c r="C60" s="2419"/>
      <c r="D60" s="2419"/>
      <c r="E60" s="2166"/>
      <c r="F60" s="2490"/>
      <c r="G60" s="2490"/>
      <c r="H60" s="2498"/>
      <c r="I60" s="138"/>
      <c r="J60" s="3139"/>
      <c r="K60" s="3137"/>
      <c r="L60" s="2491" t="s">
        <v>2234</v>
      </c>
      <c r="M60" s="1762"/>
      <c r="N60" s="2493" t="str">
        <f ca="1">NUMBERSTRING(INT(N59*10000),2)&amp;"元整"</f>
        <v>壹仟伍佰叁拾捌万元整</v>
      </c>
      <c r="O60" s="2494"/>
    </row>
    <row r="61" spans="1:35" ht="13.5" thickBot="1">
      <c r="A61" s="3084" t="s">
        <v>2238</v>
      </c>
      <c r="B61" s="3084"/>
      <c r="C61" s="3084"/>
      <c r="D61" s="3084"/>
      <c r="E61" s="3084"/>
      <c r="F61" s="2490"/>
      <c r="G61" s="2490"/>
      <c r="H61" s="2498"/>
      <c r="I61" s="138"/>
      <c r="J61" s="1812">
        <f>J59+1</f>
        <v>6</v>
      </c>
      <c r="K61" s="3137" t="s">
        <v>2239</v>
      </c>
      <c r="L61" s="3137"/>
      <c r="M61" s="1765"/>
      <c r="N61" s="1766">
        <f ca="1">ROUND(N59*10000/'数据-汇总表'!E3,0)</f>
        <v>34514</v>
      </c>
      <c r="O61" s="2499"/>
    </row>
    <row r="62" spans="1:35" ht="12.75">
      <c r="A62" s="3100" t="s">
        <v>2240</v>
      </c>
      <c r="B62" s="3101"/>
      <c r="C62" s="1804"/>
      <c r="D62" s="1804" t="s">
        <v>2241</v>
      </c>
      <c r="E62" s="193" t="s">
        <v>2242</v>
      </c>
      <c r="F62" s="2490"/>
      <c r="G62" s="2490"/>
      <c r="H62" s="2498"/>
      <c r="I62" s="138"/>
    </row>
    <row r="63" spans="1:35" ht="12.75">
      <c r="A63" s="204" t="s">
        <v>775</v>
      </c>
      <c r="B63" s="194" t="s">
        <v>2243</v>
      </c>
      <c r="C63" s="195">
        <f ca="1">ROUND((C64+C65)/(1+'数据-取费表'!C42),0)</f>
        <v>3379</v>
      </c>
      <c r="D63" s="196"/>
      <c r="E63" s="197"/>
      <c r="F63" s="2490"/>
      <c r="G63" s="2490"/>
      <c r="H63" s="2498"/>
      <c r="I63" s="138"/>
      <c r="J63" s="3162" t="s">
        <v>2244</v>
      </c>
      <c r="K63" s="2500" t="s">
        <v>2245</v>
      </c>
      <c r="L63" s="1753">
        <f ca="1">IF(M49&gt;10000,M49*0.5%,IF(AND(M49&gt;1000,M49&lt;=10000),M49*1%,IF(AND(M49&gt;100,M49&lt;=1000),M49*3%,IF(AND(M49&gt;10,M49&lt;=100),M49*5%,M49*8%))))</f>
        <v>35.480000000000004</v>
      </c>
      <c r="M63" s="24">
        <f ca="1">ROUND(L63,1)</f>
        <v>35.5</v>
      </c>
      <c r="Z63" s="2424"/>
      <c r="AI63" s="2425"/>
    </row>
    <row r="64" spans="1:35" ht="14.25" customHeight="1">
      <c r="A64" s="198" t="s">
        <v>770</v>
      </c>
      <c r="B64" s="199" t="s">
        <v>2246</v>
      </c>
      <c r="C64" s="200">
        <f ca="1">D45</f>
        <v>3548</v>
      </c>
      <c r="D64" s="201" t="s">
        <v>32</v>
      </c>
      <c r="E64" s="202"/>
      <c r="F64" s="2490"/>
      <c r="G64" s="2490"/>
      <c r="H64" s="2498"/>
      <c r="I64" s="138"/>
      <c r="J64" s="3162"/>
      <c r="K64" s="2500" t="s">
        <v>2247</v>
      </c>
      <c r="L64" s="1753">
        <f ca="1">IF(M49&gt;2000,M49*0.5%,IF(AND(M49&gt;1000,M49&lt;=2000),M49*0.6%,IF(AND(M49&gt;500,M49&lt;=1000),M49*0.7%,IF(AND(M49&gt;200,M49&lt;=500),M49*0.8%,IF(AND(M49&gt;100,M49&lt;=200),M49*0.9%,IF(AND(M49&gt;50,M49&lt;=100),M49*1%,IF(AND(M49&gt;20,M49&lt;=50),M49*1.5%,IF(AND(M49&gt;10,M49&lt;=20),M49*2%,IF(AND(M49&gt;1,M49&lt;=10),M49*2.5%)))))))))</f>
        <v>17.740000000000002</v>
      </c>
      <c r="M64" s="24">
        <f t="shared" ref="M64:M65" ca="1" si="1">ROUND(L64,1)</f>
        <v>17.7</v>
      </c>
      <c r="N64" s="138" t="s">
        <v>2248</v>
      </c>
      <c r="Z64" s="2424"/>
      <c r="AI64" s="2425"/>
    </row>
    <row r="65" spans="1:35" ht="14.25" customHeight="1">
      <c r="A65" s="198" t="s">
        <v>771</v>
      </c>
      <c r="B65" s="199" t="s">
        <v>2249</v>
      </c>
      <c r="C65" s="203"/>
      <c r="D65" s="201"/>
      <c r="E65" s="202"/>
      <c r="F65" s="2490"/>
      <c r="G65" s="2490"/>
      <c r="H65" s="2498"/>
      <c r="I65" s="138"/>
      <c r="J65" s="3162"/>
      <c r="K65" s="2500" t="s">
        <v>2250</v>
      </c>
      <c r="L65" s="1753">
        <f ca="1">IF(M49&gt;1000,M49*0.1%,IF(AND(M49&gt;500,M49&lt;=1000),M49*0.5%,IF(AND(M49&gt;50,M49&lt;=500),M49*1%,IF(AND(M49&gt;1,M49&lt;=50),M49*1.5%))))</f>
        <v>3.548</v>
      </c>
      <c r="M65" s="24">
        <f t="shared" ca="1" si="1"/>
        <v>3.5</v>
      </c>
      <c r="N65" s="138" t="s">
        <v>2248</v>
      </c>
      <c r="Z65" s="2424"/>
      <c r="AI65" s="2425"/>
    </row>
    <row r="66" spans="1:35" ht="14.25" customHeight="1">
      <c r="A66" s="204" t="s">
        <v>772</v>
      </c>
      <c r="B66" s="205" t="s">
        <v>2251</v>
      </c>
      <c r="C66" s="206"/>
      <c r="D66" s="207" t="s">
        <v>32</v>
      </c>
      <c r="E66" s="1776" t="s">
        <v>1372</v>
      </c>
      <c r="F66" s="2490"/>
      <c r="G66" s="2490"/>
      <c r="H66" s="2498"/>
      <c r="I66" s="138"/>
      <c r="J66" s="3162"/>
      <c r="K66" s="2500" t="s">
        <v>2252</v>
      </c>
      <c r="L66" s="1753">
        <f ca="1">M49*0.5%</f>
        <v>17.740000000000002</v>
      </c>
      <c r="M66" s="24">
        <f ca="1">IF(L66&gt;0.5,0.5,ROUND(L66,0))</f>
        <v>0.5</v>
      </c>
      <c r="N66" s="138" t="s">
        <v>2253</v>
      </c>
      <c r="Z66" s="2424"/>
      <c r="AI66" s="2425"/>
    </row>
    <row r="67" spans="1:35" ht="14.25" customHeight="1">
      <c r="A67" s="204" t="s">
        <v>773</v>
      </c>
      <c r="B67" s="205" t="s">
        <v>2254</v>
      </c>
      <c r="C67" s="208">
        <f ca="1">C63-C66</f>
        <v>3379</v>
      </c>
      <c r="D67" s="201" t="s">
        <v>32</v>
      </c>
      <c r="E67" s="202"/>
      <c r="F67" s="2490"/>
      <c r="G67" s="2490"/>
      <c r="H67" s="2498"/>
      <c r="I67" s="138"/>
      <c r="J67" s="3162"/>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2256</v>
      </c>
      <c r="C68" s="211">
        <f ca="1">IF(C67&lt;=0,0,ROUND(C67*D68,0))</f>
        <v>189</v>
      </c>
      <c r="D68" s="212">
        <f>'数据-取费表'!B41</f>
        <v>5.6000000000000001E-2</v>
      </c>
      <c r="E68" s="213"/>
      <c r="F68" s="2490"/>
      <c r="G68" s="2490"/>
      <c r="H68" s="2498"/>
      <c r="I68" s="138"/>
      <c r="J68" s="3162"/>
      <c r="K68" s="2500" t="s">
        <v>2257</v>
      </c>
      <c r="L68" s="1753">
        <f ca="1">IF(M49&gt;10000,M49*0.5%,IF(AND(M49&gt;5000,M49&lt;=10000),M49*1%,IF(AND(M49&gt;1000,M49&lt;=5000),M49*2%,IF(AND(M49&gt;200,M49&lt;=1000),M49*3%,M49*5%))))</f>
        <v>70.960000000000008</v>
      </c>
      <c r="M68" s="24">
        <f ca="1">ROUND(L68,1)</f>
        <v>71</v>
      </c>
      <c r="Z68" s="2424"/>
      <c r="AI68" s="2425"/>
    </row>
    <row r="69" spans="1:35" s="2447" customFormat="1" ht="16.5" customHeight="1">
      <c r="A69" s="2501"/>
      <c r="B69" s="2502"/>
      <c r="C69" s="2503"/>
      <c r="D69" s="2504"/>
      <c r="E69" s="2505"/>
      <c r="F69" s="2166"/>
      <c r="G69" s="2166"/>
      <c r="H69" s="2165"/>
      <c r="I69" s="2419"/>
      <c r="J69" s="3162"/>
      <c r="K69" s="2500" t="s">
        <v>2258</v>
      </c>
      <c r="L69" s="2506"/>
      <c r="M69" s="24">
        <f ca="1">ROUND(SUM(M63:M68),0)</f>
        <v>131</v>
      </c>
      <c r="N69" s="1754">
        <f ca="1">M69/M49</f>
        <v>3.6922209695603156E-2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21" t="s">
        <v>2259</v>
      </c>
      <c r="B70" s="3122"/>
      <c r="C70" s="3122"/>
      <c r="D70" s="3122"/>
      <c r="E70" s="3122"/>
      <c r="F70" s="3122"/>
      <c r="G70" s="3122"/>
      <c r="H70" s="312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0" t="s">
        <v>2240</v>
      </c>
      <c r="B71" s="3101"/>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3379</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095" t="s">
        <v>2268</v>
      </c>
      <c r="F76" s="3072"/>
      <c r="G76" s="3072"/>
      <c r="H76" s="312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20</v>
      </c>
      <c r="D78" s="227">
        <f>'数据-取费表'!B43</f>
        <v>6.000000000000001E-3</v>
      </c>
      <c r="E78" s="3081" t="s">
        <v>2273</v>
      </c>
      <c r="F78" s="3082"/>
      <c r="G78" s="3082"/>
      <c r="H78" s="309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3359</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2008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1" t="s">
        <v>2277</v>
      </c>
      <c r="B83" s="3122"/>
      <c r="C83" s="3122"/>
      <c r="D83" s="3122"/>
      <c r="E83" s="3122"/>
      <c r="F83" s="3122"/>
      <c r="G83" s="3122"/>
      <c r="H83" s="312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0" t="s">
        <v>2240</v>
      </c>
      <c r="B84" s="3101"/>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3379</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081" t="s">
        <v>2286</v>
      </c>
      <c r="F91" s="3082"/>
      <c r="G91" s="3082"/>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081" t="s">
        <v>2290</v>
      </c>
      <c r="F92" s="3082"/>
      <c r="G92" s="3082"/>
      <c r="H92" s="309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20</v>
      </c>
      <c r="D93" s="227">
        <f>'数据-取费表'!B43</f>
        <v>6.000000000000001E-3</v>
      </c>
      <c r="E93" s="3081" t="s">
        <v>2273</v>
      </c>
      <c r="F93" s="3082"/>
      <c r="G93" s="3082"/>
      <c r="H93" s="309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092" t="s">
        <v>2294</v>
      </c>
      <c r="F94" s="3093"/>
      <c r="G94" s="3093"/>
      <c r="H94" s="309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3359</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2008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66" t="s">
        <v>2296</v>
      </c>
      <c r="B100" s="3067"/>
      <c r="C100" s="3067"/>
      <c r="D100" s="3083"/>
      <c r="E100" s="3067" t="s">
        <v>2297</v>
      </c>
      <c r="F100" s="3067"/>
      <c r="G100" s="3067"/>
      <c r="H100" s="3083"/>
      <c r="I100" s="138"/>
    </row>
    <row r="101" spans="1:35" ht="18.75" customHeight="1">
      <c r="A101" s="3145" t="s">
        <v>2298</v>
      </c>
      <c r="B101" s="3146"/>
      <c r="C101" s="737" t="str">
        <f>C4</f>
        <v>比较法-住宅</v>
      </c>
      <c r="D101" s="738" t="str">
        <f>D4</f>
        <v>收益法 (元)</v>
      </c>
      <c r="E101" s="3159" t="s">
        <v>2299</v>
      </c>
      <c r="F101" s="3113"/>
      <c r="G101" s="2521" t="s">
        <v>2300</v>
      </c>
      <c r="H101" s="1049">
        <f ca="1">H118</f>
        <v>3548</v>
      </c>
      <c r="I101" s="138"/>
    </row>
    <row r="102" spans="1:35" ht="18.75" customHeight="1">
      <c r="A102" s="3115" t="s">
        <v>2301</v>
      </c>
      <c r="B102" s="2521" t="s">
        <v>2300</v>
      </c>
      <c r="C102" s="737">
        <f ca="1">C19</f>
        <v>4203</v>
      </c>
      <c r="D102" s="738">
        <f ca="1">D19</f>
        <v>2019</v>
      </c>
      <c r="E102" s="3159"/>
      <c r="F102" s="3113"/>
      <c r="G102" s="2521" t="s">
        <v>2302</v>
      </c>
      <c r="H102" s="372">
        <f ca="1">I118</f>
        <v>79621</v>
      </c>
      <c r="I102" s="138"/>
    </row>
    <row r="103" spans="1:35" ht="42.75" customHeight="1">
      <c r="A103" s="3115"/>
      <c r="B103" s="2521" t="s">
        <v>2302</v>
      </c>
      <c r="C103" s="739">
        <f ca="1">C20</f>
        <v>94325</v>
      </c>
      <c r="D103" s="740">
        <f ca="1">D20</f>
        <v>45314</v>
      </c>
      <c r="E103" s="3154" t="s">
        <v>2303</v>
      </c>
      <c r="F103" s="3155"/>
      <c r="G103" s="2522" t="s">
        <v>2304</v>
      </c>
      <c r="H103" s="1049">
        <f>IF(D36="正常操作",H104+H105+H106,H105+H106)</f>
        <v>0</v>
      </c>
      <c r="I103" s="138"/>
    </row>
    <row r="104" spans="1:35" ht="18.75" customHeight="1">
      <c r="A104" s="3115" t="s">
        <v>2305</v>
      </c>
      <c r="B104" s="2523" t="s">
        <v>2300</v>
      </c>
      <c r="C104" s="741">
        <f ca="1">H118</f>
        <v>3548</v>
      </c>
      <c r="D104" s="742"/>
      <c r="E104" s="2267" t="s">
        <v>2306</v>
      </c>
      <c r="F104" s="2258"/>
      <c r="G104" s="2522" t="s">
        <v>2304</v>
      </c>
      <c r="H104" s="1050">
        <f>IF(D36="同一抵押权人同一抵押物续贷",C36&amp;"（未扣减，详见特别提示）",C36)</f>
        <v>0</v>
      </c>
      <c r="I104" s="138"/>
    </row>
    <row r="105" spans="1:35" ht="18.75" customHeight="1" thickBot="1">
      <c r="A105" s="3116"/>
      <c r="B105" s="2524" t="s">
        <v>2302</v>
      </c>
      <c r="C105" s="743">
        <f ca="1">I118</f>
        <v>79621</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112" t="str">
        <f>IF(项目基本情况!E8="已注销","——","3.房地产抵押价值")</f>
        <v>3.房地产抵押价值</v>
      </c>
      <c r="F107" s="3113"/>
      <c r="G107" s="2521" t="s">
        <v>2300</v>
      </c>
      <c r="H107" s="1049">
        <f ca="1">IF(E107="——","——",H101-H103)</f>
        <v>3548</v>
      </c>
      <c r="I107" s="138"/>
    </row>
    <row r="108" spans="1:35" ht="18.75" customHeight="1">
      <c r="A108" s="138"/>
      <c r="B108" s="138"/>
      <c r="C108" s="138"/>
      <c r="D108" s="138"/>
      <c r="E108" s="3112"/>
      <c r="F108" s="3113"/>
      <c r="G108" s="2521" t="s">
        <v>2302</v>
      </c>
      <c r="H108" s="372">
        <f ca="1">ROUND(H107*10000/'数据-汇总表'!E3,0)</f>
        <v>79621</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1" t="s">
        <v>2300</v>
      </c>
      <c r="H109" s="349" t="str">
        <f>IF(E109="——","——",H101-H105-H106)</f>
        <v>——</v>
      </c>
      <c r="I109" s="138"/>
    </row>
    <row r="110" spans="1:35" ht="18.75" customHeight="1">
      <c r="A110" s="138"/>
      <c r="B110" s="138"/>
      <c r="C110" s="138"/>
      <c r="D110" s="138"/>
      <c r="E110" s="3112"/>
      <c r="F110" s="3113"/>
      <c r="G110" s="2521" t="s">
        <v>2302</v>
      </c>
      <c r="H110" s="372"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21" t="s">
        <v>2300</v>
      </c>
      <c r="H111" s="1049" t="str">
        <f>IF(E111="——","——",N59)</f>
        <v>——</v>
      </c>
      <c r="I111" s="138"/>
    </row>
    <row r="112" spans="1:35" ht="18.75" customHeight="1" thickBot="1">
      <c r="A112" s="138"/>
      <c r="B112" s="138"/>
      <c r="C112" s="138"/>
      <c r="D112" s="138"/>
      <c r="E112" s="3149"/>
      <c r="F112" s="3150"/>
      <c r="G112" s="2526" t="s">
        <v>2302</v>
      </c>
      <c r="H112" s="791" t="str">
        <f>IF(E111="——","——",N61)</f>
        <v>——</v>
      </c>
      <c r="I112" s="138"/>
    </row>
    <row r="113" spans="1:11" ht="18.75" customHeight="1">
      <c r="A113" s="138"/>
      <c r="B113" s="138"/>
      <c r="C113" s="138"/>
      <c r="D113" s="138"/>
      <c r="E113" s="3117" t="s">
        <v>2308</v>
      </c>
      <c r="F113" s="3117"/>
      <c r="G113" s="3117"/>
      <c r="H113" s="3117"/>
      <c r="I113" s="138"/>
    </row>
    <row r="114" spans="1:11" ht="3.75" customHeight="1">
      <c r="A114" s="2419"/>
      <c r="B114" s="2419"/>
      <c r="C114" s="2419"/>
      <c r="D114" s="2419"/>
      <c r="E114" s="2497"/>
      <c r="F114" s="2497"/>
      <c r="G114" s="2497"/>
      <c r="H114" s="2497"/>
      <c r="I114" s="2419"/>
    </row>
    <row r="115" spans="1:11" ht="18.75" customHeight="1">
      <c r="A115" s="3130" t="s">
        <v>2310</v>
      </c>
      <c r="B115" s="3131"/>
      <c r="C115" s="3131"/>
      <c r="D115" s="3131"/>
      <c r="E115" s="3131"/>
      <c r="F115" s="3131"/>
      <c r="G115" s="3131"/>
      <c r="H115" s="3131"/>
      <c r="I115" s="3132"/>
    </row>
    <row r="116" spans="1:11" ht="27" customHeight="1">
      <c r="A116" s="3023" t="s">
        <v>2311</v>
      </c>
      <c r="B116" s="3118" t="s">
        <v>2312</v>
      </c>
      <c r="C116" s="3118" t="s">
        <v>2313</v>
      </c>
      <c r="D116" s="3134" t="s">
        <v>2314</v>
      </c>
      <c r="E116" s="3135"/>
      <c r="F116" s="3126" t="s">
        <v>2315</v>
      </c>
      <c r="G116" s="3126"/>
      <c r="H116" s="3023" t="s">
        <v>2316</v>
      </c>
      <c r="I116" s="3023"/>
    </row>
    <row r="117" spans="1:11" ht="18.75" customHeight="1">
      <c r="A117" s="3023"/>
      <c r="B117" s="3119"/>
      <c r="C117" s="3119"/>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3548</v>
      </c>
      <c r="I118" s="1798">
        <f ca="1">ROUND(IF(D32="楼面单价",C32,H118*10000/B118),0)</f>
        <v>79621</v>
      </c>
    </row>
    <row r="119" spans="1:11" ht="18.75" customHeight="1">
      <c r="A119" s="3023" t="s">
        <v>2320</v>
      </c>
      <c r="B119" s="3023"/>
      <c r="C119" s="3023"/>
      <c r="D119" s="3123" t="e">
        <f ca="1">NUMBERSTRING(INT(D118*10000),2)&amp;"元整"</f>
        <v>#REF!</v>
      </c>
      <c r="E119" s="3125"/>
      <c r="F119" s="3123" t="e">
        <f ca="1">NUMBERSTRING(INT(F118*10000),2)&amp;"元整"</f>
        <v>#REF!</v>
      </c>
      <c r="G119" s="3125"/>
      <c r="H119" s="3123" t="str">
        <f ca="1">NUMBERSTRING(INT(H118*10000),2)&amp;"元整"</f>
        <v>叁仟伍佰肆拾捌万元整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4" t="str">
        <f>IF(D120=0,"故，本次评估不存在"&amp;A120,"故，本次评估"&amp;A120&amp;"为人民币"&amp;D120&amp;"万元整。")</f>
        <v>故，本次评估不存在估价师知悉的法定优先受偿款</v>
      </c>
    </row>
    <row r="121" spans="1:11" ht="18.75" customHeight="1">
      <c r="A121" s="3127" t="s">
        <v>2320</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3548</v>
      </c>
      <c r="E122" s="3152"/>
      <c r="F122" s="3152"/>
      <c r="G122" s="3152"/>
      <c r="H122" s="3152"/>
      <c r="I122" s="3153"/>
    </row>
    <row r="123" spans="1:11" ht="18.75" customHeight="1">
      <c r="A123" s="3023" t="s">
        <v>2320</v>
      </c>
      <c r="B123" s="3023"/>
      <c r="C123" s="3023"/>
      <c r="D123" s="3123" t="str">
        <f ca="1">NUMBERSTRING(INT(D122*10000),2)&amp;"元整"</f>
        <v>叁仟伍佰肆拾捌万元整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2320</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2320</v>
      </c>
      <c r="B127" s="3023"/>
      <c r="C127" s="3023"/>
      <c r="D127" s="3123" t="e">
        <f>NUMBERSTRING(INT(D126*10000),2)&amp;"元整"</f>
        <v>#VALUE!</v>
      </c>
      <c r="E127" s="3124"/>
      <c r="F127" s="3124"/>
      <c r="G127" s="3124"/>
      <c r="H127" s="3124"/>
      <c r="I127" s="3125"/>
    </row>
    <row r="128" spans="1:11" ht="21.75" customHeight="1">
      <c r="A128" s="3133" t="s">
        <v>2321</v>
      </c>
      <c r="B128" s="3133"/>
      <c r="C128" s="3133"/>
      <c r="D128" s="3133"/>
      <c r="E128" s="3133"/>
      <c r="F128" s="3133"/>
      <c r="G128" s="3133"/>
      <c r="H128" s="3133"/>
      <c r="I128" s="313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65" t="s">
        <v>2412</v>
      </c>
    </row>
    <row r="43" spans="1:7" ht="13.5" customHeight="1">
      <c r="A43" s="955" t="s">
        <v>792</v>
      </c>
      <c r="B43" s="260" t="s">
        <v>2413</v>
      </c>
      <c r="C43" s="283">
        <f ca="1">ROUND(IF('数据-取费表'!B22&lt;=1,C39*F22*'数据-取费表'!B21/2,C39*(POWER((1+F22),'数据-取费表'!B21/2)-1)),0)</f>
        <v>1</v>
      </c>
      <c r="D43" s="283"/>
      <c r="E43" s="283"/>
      <c r="F43" s="284"/>
      <c r="G43" s="3166"/>
    </row>
    <row r="44" spans="1:7" ht="13.5" customHeight="1">
      <c r="A44" s="955" t="s">
        <v>793</v>
      </c>
      <c r="B44" s="260" t="s">
        <v>2414</v>
      </c>
      <c r="C44" s="283">
        <f ca="1">ROUND(IF('数据-取费表'!B22&lt;=1,C40*F22*'数据-取费表'!B21/2,C40*(POWER((1+F22),'数据-取费表'!B21/2)-1)),4)</f>
        <v>1.4E-3</v>
      </c>
      <c r="D44" s="283"/>
      <c r="E44" s="283"/>
      <c r="F44" s="284"/>
      <c r="G44" s="3167"/>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79" t="str">
        <f>项目基本情况!B1</f>
        <v>北京市朝阳区霄云路8号院房地产抵押价值预评估</v>
      </c>
      <c r="C37" s="2979"/>
      <c r="D37" s="2979"/>
      <c r="E37" s="2979"/>
      <c r="F37" s="2979"/>
      <c r="G37" s="2979"/>
      <c r="H37" s="2979"/>
      <c r="I37" s="2979"/>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65" t="s">
        <v>2459</v>
      </c>
    </row>
    <row r="43" spans="1:7" ht="13.5" customHeight="1">
      <c r="A43" s="955" t="s">
        <v>792</v>
      </c>
      <c r="B43" s="260" t="s">
        <v>2413</v>
      </c>
      <c r="C43" s="283">
        <f ca="1">ROUND(IF('数据-取费表'!B22&lt;=1,C39*F22*'数据-取费表'!B20/2,C39*(POWER((1+F22),'数据-取费表'!B20/2)-1)),0)</f>
        <v>7080</v>
      </c>
      <c r="D43" s="283"/>
      <c r="E43" s="283"/>
      <c r="F43" s="284"/>
      <c r="G43" s="3166"/>
    </row>
    <row r="44" spans="1:7" ht="13.5" customHeight="1">
      <c r="A44" s="955" t="s">
        <v>793</v>
      </c>
      <c r="B44" s="260" t="s">
        <v>2414</v>
      </c>
      <c r="C44" s="283">
        <f ca="1">ROUND(IF('数据-取费表'!B22&lt;=1,C40*F22*'数据-取费表'!B20/2,C40*(POWER((1+F22),'数据-取费表'!B20/2)-1)),4)</f>
        <v>1.4E-3</v>
      </c>
      <c r="D44" s="283"/>
      <c r="E44" s="283"/>
      <c r="F44" s="284"/>
      <c r="G44" s="3167"/>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70" t="s">
        <v>1404</v>
      </c>
      <c r="C6" s="1299">
        <f ca="1">ROUND(F6*F8*F7*(1-F9)/10000,0)</f>
        <v>0</v>
      </c>
      <c r="D6" s="165" t="s">
        <v>3036</v>
      </c>
      <c r="E6" s="348" t="s">
        <v>1406</v>
      </c>
      <c r="F6" s="349">
        <f ca="1">INDIRECT("'数据-取费表'!u"&amp;$G$1)</f>
        <v>0</v>
      </c>
      <c r="G6" s="1854"/>
      <c r="H6" s="1294" t="s">
        <v>1035</v>
      </c>
      <c r="I6" s="3170" t="s">
        <v>1404</v>
      </c>
      <c r="J6" s="347">
        <f ca="1">ROUND(M6*M8*M7*(1-M9)/10000,0)</f>
        <v>0</v>
      </c>
      <c r="K6" s="165" t="s">
        <v>3035</v>
      </c>
      <c r="L6" s="348" t="s">
        <v>1406</v>
      </c>
      <c r="M6" s="349">
        <f ca="1">INDIRECT("'数据-取费表'!z"&amp;$G$1)</f>
        <v>0</v>
      </c>
    </row>
    <row r="7" spans="1:37" ht="18" customHeight="1">
      <c r="A7" s="1298"/>
      <c r="B7" s="3171"/>
      <c r="C7" s="1300"/>
      <c r="D7" s="353"/>
      <c r="E7" s="1301" t="s">
        <v>1407</v>
      </c>
      <c r="F7" s="349">
        <f ca="1">IF(INDIRECT("'数据-取费表'!ah"&amp;$G$1)="",INDIRECT("'数据-取费表'!k"&amp;$G$1),INDIRECT("'数据-取费表'!ah"&amp;$G$1))</f>
        <v>0</v>
      </c>
      <c r="G7" s="1854"/>
      <c r="H7" s="350"/>
      <c r="I7" s="3171"/>
      <c r="J7" s="352"/>
      <c r="K7" s="353"/>
      <c r="L7" s="348" t="s">
        <v>1407</v>
      </c>
      <c r="M7" s="349">
        <f ca="1">F7</f>
        <v>0</v>
      </c>
    </row>
    <row r="8" spans="1:37" ht="18" customHeight="1">
      <c r="A8" s="350"/>
      <c r="B8" s="3171"/>
      <c r="C8" s="352"/>
      <c r="D8" s="353"/>
      <c r="E8" s="348" t="s">
        <v>1408</v>
      </c>
      <c r="F8" s="349">
        <f ca="1">INDIRECT("'数据-取费表'!ai"&amp;$G$1)</f>
        <v>0</v>
      </c>
      <c r="G8" s="1854"/>
      <c r="H8" s="350"/>
      <c r="I8" s="3171"/>
      <c r="J8" s="352"/>
      <c r="K8" s="353"/>
      <c r="L8" s="348" t="s">
        <v>1408</v>
      </c>
      <c r="M8" s="349">
        <f ca="1">INDIRECT("'数据-取费表'!ai"&amp;$G$1)</f>
        <v>0</v>
      </c>
    </row>
    <row r="9" spans="1:37" ht="18" customHeight="1">
      <c r="A9" s="350"/>
      <c r="B9" s="3172"/>
      <c r="C9" s="352"/>
      <c r="D9" s="353"/>
      <c r="E9" s="348" t="s">
        <v>1409</v>
      </c>
      <c r="F9" s="358">
        <f ca="1">INDIRECT("'数据-取费表'!w"&amp;$G$1)</f>
        <v>0</v>
      </c>
      <c r="G9" s="1854"/>
      <c r="H9" s="350"/>
      <c r="I9" s="3172"/>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68" t="s">
        <v>1550</v>
      </c>
      <c r="L53" s="3169"/>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2019</v>
      </c>
      <c r="C2" s="1848" t="s">
        <v>1593</v>
      </c>
      <c r="D2" s="1941">
        <f ca="1">C40+J29+L46</f>
        <v>20192547</v>
      </c>
      <c r="E2" s="1849" t="s">
        <v>1594</v>
      </c>
      <c r="F2" s="1850"/>
      <c r="G2" s="1851"/>
      <c r="H2" s="1843"/>
      <c r="I2" s="1843"/>
      <c r="J2" s="1843"/>
      <c r="K2" s="1844"/>
      <c r="L2" s="1843"/>
      <c r="M2" s="1843"/>
    </row>
    <row r="3" spans="1:37" ht="18" customHeight="1" thickBot="1">
      <c r="A3" s="1852" t="s">
        <v>1595</v>
      </c>
      <c r="B3" s="1853">
        <f ca="1">IF(ISERROR(D2/F43),0,ROUND(D2/F43,0))</f>
        <v>45314</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810054</v>
      </c>
      <c r="D5" s="1825" t="s">
        <v>1603</v>
      </c>
      <c r="E5" s="1296"/>
      <c r="F5" s="1297"/>
      <c r="G5" s="1854"/>
      <c r="H5" s="345">
        <v>1</v>
      </c>
      <c r="I5" s="346" t="s">
        <v>1602</v>
      </c>
      <c r="J5" s="1295">
        <f ca="1">J6+J10+J12</f>
        <v>0</v>
      </c>
      <c r="K5" s="1825" t="s">
        <v>1603</v>
      </c>
      <c r="L5" s="1296"/>
      <c r="M5" s="1297"/>
    </row>
    <row r="6" spans="1:37" ht="18" customHeight="1">
      <c r="A6" s="1294" t="s">
        <v>1035</v>
      </c>
      <c r="B6" s="3170" t="s">
        <v>1404</v>
      </c>
      <c r="C6" s="1299">
        <f ca="1">ROUND(F6*F8*F7*(1-F9),0)</f>
        <v>808790</v>
      </c>
      <c r="D6" s="165" t="s">
        <v>3031</v>
      </c>
      <c r="E6" s="348" t="s">
        <v>1406</v>
      </c>
      <c r="F6" s="349">
        <f ca="1">INDIRECT("'数据-取费表'!u"&amp;$G$1)</f>
        <v>84249</v>
      </c>
      <c r="G6" s="1854"/>
      <c r="H6" s="1294" t="s">
        <v>1035</v>
      </c>
      <c r="I6" s="3170" t="s">
        <v>1404</v>
      </c>
      <c r="J6" s="347">
        <f ca="1">ROUND(M6*M8*M7*(1-M9),0)</f>
        <v>0</v>
      </c>
      <c r="K6" s="1837" t="s">
        <v>3034</v>
      </c>
      <c r="L6" s="348" t="s">
        <v>1406</v>
      </c>
      <c r="M6" s="349">
        <f ca="1">INDIRECT("'数据-取费表'!z"&amp;$G$1)</f>
        <v>0</v>
      </c>
    </row>
    <row r="7" spans="1:37" ht="18" customHeight="1">
      <c r="A7" s="1298"/>
      <c r="B7" s="3171"/>
      <c r="C7" s="1300"/>
      <c r="D7" s="353"/>
      <c r="E7" s="1301" t="s">
        <v>1407</v>
      </c>
      <c r="F7" s="349">
        <f ca="1">IF(INDIRECT("'数据-取费表'!ah"&amp;$G$1)="",INDIRECT("'数据-取费表'!k"&amp;$G$1),INDIRECT("'数据-取费表'!ah"&amp;$G$1))</f>
        <v>1</v>
      </c>
      <c r="G7" s="1854"/>
      <c r="H7" s="350"/>
      <c r="I7" s="3171"/>
      <c r="J7" s="352"/>
      <c r="K7" s="353"/>
      <c r="L7" s="348" t="s">
        <v>1407</v>
      </c>
      <c r="M7" s="349">
        <f ca="1">F7</f>
        <v>1</v>
      </c>
    </row>
    <row r="8" spans="1:37" ht="18" customHeight="1">
      <c r="A8" s="350"/>
      <c r="B8" s="3171"/>
      <c r="C8" s="352"/>
      <c r="D8" s="353"/>
      <c r="E8" s="348" t="s">
        <v>1408</v>
      </c>
      <c r="F8" s="349">
        <f ca="1">INDIRECT("'数据-取费表'!ai"&amp;$G$1)</f>
        <v>12</v>
      </c>
      <c r="G8" s="1854"/>
      <c r="H8" s="350"/>
      <c r="I8" s="3171"/>
      <c r="J8" s="352"/>
      <c r="K8" s="353"/>
      <c r="L8" s="348" t="s">
        <v>1408</v>
      </c>
      <c r="M8" s="349">
        <f ca="1">INDIRECT("'数据-取费表'!ai"&amp;$G$1)</f>
        <v>12</v>
      </c>
    </row>
    <row r="9" spans="1:37" ht="18" customHeight="1">
      <c r="A9" s="350"/>
      <c r="B9" s="3172"/>
      <c r="C9" s="352"/>
      <c r="D9" s="353"/>
      <c r="E9" s="348" t="s">
        <v>1409</v>
      </c>
      <c r="F9" s="358">
        <f ca="1">INDIRECT("'数据-取费表'!w"&amp;$G$1)</f>
        <v>0.2</v>
      </c>
      <c r="G9" s="1854"/>
      <c r="H9" s="350"/>
      <c r="I9" s="3172"/>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1264</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251149</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107118</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43203</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16201.1</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558905</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20192547</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45314</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-27120057</v>
      </c>
      <c r="D45" s="1943" t="s">
        <v>1606</v>
      </c>
      <c r="E45" s="1869"/>
      <c r="F45" s="1869"/>
      <c r="O45" s="1872" t="s">
        <v>1521</v>
      </c>
      <c r="P45" s="1842"/>
      <c r="Q45" s="1842"/>
      <c r="R45" s="1842"/>
    </row>
    <row r="46" spans="1:18" s="1845" customFormat="1" ht="13.5" thickBot="1">
      <c r="A46" s="1873" t="s">
        <v>1522</v>
      </c>
      <c r="C46" s="1874">
        <f ca="1">ROUND(C45/10000,0)</f>
        <v>-2712</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20192547</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57.23</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-518059</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68" t="s">
        <v>1550</v>
      </c>
      <c r="L53" s="3169"/>
      <c r="O53" s="1887" t="s">
        <v>1046</v>
      </c>
      <c r="P53" s="1888" t="s">
        <v>1551</v>
      </c>
      <c r="Q53" s="1889">
        <f ca="1">Q47+Q48</f>
        <v>20192547</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3.2299999999999969</v>
      </c>
      <c r="O56" s="1887" t="s">
        <v>1040</v>
      </c>
      <c r="P56" s="1888" t="s">
        <v>1530</v>
      </c>
      <c r="Q56" s="1889">
        <f ca="1">C40+J29</f>
        <v>20192547</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-518059</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20192547</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20192547</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-518059</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-23179</v>
      </c>
      <c r="R68" s="1889" t="s">
        <v>1051</v>
      </c>
    </row>
    <row r="69" spans="1:18" s="1845" customFormat="1" ht="13.5" thickBot="1">
      <c r="A69" s="1173"/>
      <c r="B69" s="1174"/>
      <c r="C69" s="352"/>
      <c r="D69" s="1192" t="s">
        <v>1475</v>
      </c>
      <c r="E69" s="1172" t="s">
        <v>1476</v>
      </c>
      <c r="F69" s="380">
        <f ca="1">F41</f>
        <v>54</v>
      </c>
      <c r="O69" s="1897" t="s">
        <v>1048</v>
      </c>
      <c r="P69" s="1937" t="s">
        <v>1586</v>
      </c>
      <c r="Q69" s="1889">
        <f ca="1">C39</f>
        <v>558905</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20192547</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-4.0999999999999925E-2</v>
      </c>
    </row>
    <row r="80" spans="1:18">
      <c r="B80" s="387" t="s">
        <v>1513</v>
      </c>
      <c r="C80" s="319">
        <f ca="1">ROUND(C75/C39,3)</f>
        <v>1.0409999999999999</v>
      </c>
    </row>
    <row r="81" spans="2:3">
      <c r="B81" s="315" t="s">
        <v>1514</v>
      </c>
      <c r="C81" s="283"/>
    </row>
    <row r="82" spans="2:3">
      <c r="B82" s="318" t="s">
        <v>1515</v>
      </c>
      <c r="C82" s="320">
        <f ca="1">1-C83</f>
        <v>0.66100000000000003</v>
      </c>
    </row>
    <row r="83" spans="2:3">
      <c r="B83" s="318" t="s">
        <v>1516</v>
      </c>
      <c r="C83" s="319">
        <f ca="1">ROUND(C13/C40,3)</f>
        <v>0.33900000000000002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2019</v>
      </c>
      <c r="C2" s="2569" t="s">
        <v>2522</v>
      </c>
      <c r="D2" s="2570" t="s">
        <v>2523</v>
      </c>
      <c r="E2" s="2571">
        <f>SUM(E6:E13)</f>
        <v>445.61</v>
      </c>
    </row>
    <row r="3" spans="1:6" ht="15.75">
      <c r="A3" s="2567" t="s">
        <v>1396</v>
      </c>
      <c r="B3" s="2568">
        <f ca="1">ROUND(B2*10000/E2,0)</f>
        <v>45309</v>
      </c>
      <c r="C3" s="2569" t="s">
        <v>2530</v>
      </c>
      <c r="D3" s="2572"/>
      <c r="E3" s="2573"/>
    </row>
    <row r="4" spans="1:6" ht="15.75">
      <c r="A4" s="2574"/>
      <c r="B4" s="2572"/>
      <c r="C4" s="2572"/>
      <c r="D4" s="2572"/>
      <c r="E4" s="2573"/>
    </row>
    <row r="5" spans="1:6" ht="15">
      <c r="A5" s="2575" t="s">
        <v>2524</v>
      </c>
      <c r="B5" s="3173" t="s">
        <v>2525</v>
      </c>
      <c r="C5" s="3173"/>
      <c r="D5" s="2576"/>
      <c r="E5" s="2577" t="s">
        <v>2526</v>
      </c>
      <c r="F5" s="2578" t="s">
        <v>2527</v>
      </c>
    </row>
    <row r="6" spans="1:6">
      <c r="A6" s="2579" t="str">
        <f>'数据-取费表'!AN6</f>
        <v>收益法 (元)</v>
      </c>
      <c r="B6" s="2578">
        <f ca="1">IF(F6="是",'数据-取费表'!AO6,0)</f>
        <v>2019</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1076</v>
      </c>
      <c r="B1" s="3191"/>
      <c r="C1" s="3192"/>
      <c r="D1" s="3193">
        <f>SUM(I10,I15,I20,I21,I23)</f>
        <v>0</v>
      </c>
      <c r="E1" s="3193"/>
      <c r="F1" s="3193"/>
      <c r="G1" s="3193"/>
      <c r="H1" s="3193"/>
      <c r="I1" s="3194"/>
    </row>
    <row r="2" spans="1:9">
      <c r="A2" s="3180" t="s">
        <v>1077</v>
      </c>
      <c r="B2" s="3181" t="s">
        <v>1078</v>
      </c>
      <c r="C2" s="3181"/>
      <c r="D2" s="1304" t="s">
        <v>1079</v>
      </c>
      <c r="E2" s="1304" t="s">
        <v>1080</v>
      </c>
      <c r="F2" s="1304" t="s">
        <v>1081</v>
      </c>
      <c r="G2" s="1304" t="s">
        <v>1082</v>
      </c>
      <c r="H2" s="1304" t="s">
        <v>1083</v>
      </c>
      <c r="I2" s="1305" t="s">
        <v>1084</v>
      </c>
    </row>
    <row r="3" spans="1:9">
      <c r="A3" s="3180"/>
      <c r="B3" s="3181" t="s">
        <v>1085</v>
      </c>
      <c r="C3" s="3181"/>
      <c r="D3" s="1306"/>
      <c r="E3" s="1304"/>
      <c r="F3" s="1307"/>
      <c r="G3" s="1307"/>
      <c r="H3" s="1308"/>
      <c r="I3" s="1309">
        <f>ROUND(D3*E3*F3*G3*H3/10000,0)</f>
        <v>0</v>
      </c>
    </row>
    <row r="4" spans="1:9">
      <c r="A4" s="3180"/>
      <c r="B4" s="3181" t="s">
        <v>1086</v>
      </c>
      <c r="C4" s="3181"/>
      <c r="D4" s="1306"/>
      <c r="E4" s="1304"/>
      <c r="F4" s="1307"/>
      <c r="G4" s="1307"/>
      <c r="H4" s="1308"/>
      <c r="I4" s="1309">
        <f t="shared" ref="I4:I9" si="0">ROUND(D4*E4*F4*G4*H4/10000,0)</f>
        <v>0</v>
      </c>
    </row>
    <row r="5" spans="1:9">
      <c r="A5" s="3180"/>
      <c r="B5" s="3181" t="s">
        <v>1087</v>
      </c>
      <c r="C5" s="3181"/>
      <c r="D5" s="1306"/>
      <c r="E5" s="1304"/>
      <c r="F5" s="1307"/>
      <c r="G5" s="1307"/>
      <c r="H5" s="1308"/>
      <c r="I5" s="1309">
        <f t="shared" si="0"/>
        <v>0</v>
      </c>
    </row>
    <row r="6" spans="1:9">
      <c r="A6" s="3180"/>
      <c r="B6" s="3181" t="s">
        <v>1088</v>
      </c>
      <c r="C6" s="3181"/>
      <c r="D6" s="1306"/>
      <c r="E6" s="1304"/>
      <c r="F6" s="1307"/>
      <c r="G6" s="1307"/>
      <c r="H6" s="1308"/>
      <c r="I6" s="1309">
        <f t="shared" si="0"/>
        <v>0</v>
      </c>
    </row>
    <row r="7" spans="1:9">
      <c r="A7" s="3180"/>
      <c r="B7" s="3181" t="s">
        <v>1089</v>
      </c>
      <c r="C7" s="3181"/>
      <c r="D7" s="1306"/>
      <c r="E7" s="1304"/>
      <c r="F7" s="1307"/>
      <c r="G7" s="1307"/>
      <c r="H7" s="1308"/>
      <c r="I7" s="1309">
        <f t="shared" si="0"/>
        <v>0</v>
      </c>
    </row>
    <row r="8" spans="1:9">
      <c r="A8" s="3180"/>
      <c r="B8" s="3181" t="s">
        <v>1090</v>
      </c>
      <c r="C8" s="3181"/>
      <c r="D8" s="1306"/>
      <c r="E8" s="1304"/>
      <c r="F8" s="1307"/>
      <c r="G8" s="1307"/>
      <c r="H8" s="1308"/>
      <c r="I8" s="1309">
        <f t="shared" si="0"/>
        <v>0</v>
      </c>
    </row>
    <row r="9" spans="1:9">
      <c r="A9" s="3180"/>
      <c r="B9" s="3181" t="s">
        <v>1091</v>
      </c>
      <c r="C9" s="3181"/>
      <c r="D9" s="1306"/>
      <c r="E9" s="1304"/>
      <c r="F9" s="1307"/>
      <c r="G9" s="1307"/>
      <c r="H9" s="1308"/>
      <c r="I9" s="1309">
        <f t="shared" si="0"/>
        <v>0</v>
      </c>
    </row>
    <row r="10" spans="1:9">
      <c r="A10" s="3180"/>
      <c r="B10" s="3182" t="s">
        <v>1092</v>
      </c>
      <c r="C10" s="3182"/>
      <c r="D10" s="1310"/>
      <c r="E10" s="1310" t="e">
        <f>ROUND(D1*10000/D10/H9,0)</f>
        <v>#DIV/0!</v>
      </c>
      <c r="F10" s="1311"/>
      <c r="G10" s="1311"/>
      <c r="H10" s="1312"/>
      <c r="I10" s="1313">
        <f>SUM(I3:I9)</f>
        <v>0</v>
      </c>
    </row>
    <row r="11" spans="1:9" ht="14.25">
      <c r="A11" s="3180" t="s">
        <v>1093</v>
      </c>
      <c r="B11" s="3181" t="s">
        <v>1094</v>
      </c>
      <c r="C11" s="3181"/>
      <c r="D11" s="1306" t="s">
        <v>1095</v>
      </c>
      <c r="E11" s="1306" t="s">
        <v>1096</v>
      </c>
      <c r="F11" s="1307" t="s">
        <v>1097</v>
      </c>
      <c r="G11" s="1307" t="s">
        <v>1083</v>
      </c>
      <c r="H11" s="1314" t="s">
        <v>1098</v>
      </c>
      <c r="I11" s="1305" t="s">
        <v>1084</v>
      </c>
    </row>
    <row r="12" spans="1:9">
      <c r="A12" s="3180"/>
      <c r="B12" s="3181" t="s">
        <v>1099</v>
      </c>
      <c r="C12" s="3181"/>
      <c r="D12" s="1306"/>
      <c r="E12" s="1306"/>
      <c r="F12" s="1307"/>
      <c r="G12" s="1308"/>
      <c r="H12" s="1315"/>
      <c r="I12" s="1305">
        <f>ROUND(D12*E12*F12*G12/10000,0)</f>
        <v>0</v>
      </c>
    </row>
    <row r="13" spans="1:9">
      <c r="A13" s="3180"/>
      <c r="B13" s="3181" t="s">
        <v>1100</v>
      </c>
      <c r="C13" s="3181"/>
      <c r="D13" s="1306"/>
      <c r="E13" s="1306"/>
      <c r="F13" s="1307"/>
      <c r="G13" s="1308"/>
      <c r="H13" s="1315"/>
      <c r="I13" s="1305">
        <f>ROUND(D13*E13*F13*G13/10000,0)</f>
        <v>0</v>
      </c>
    </row>
    <row r="14" spans="1:9">
      <c r="A14" s="3180"/>
      <c r="B14" s="3181" t="s">
        <v>1101</v>
      </c>
      <c r="C14" s="3181"/>
      <c r="D14" s="1306"/>
      <c r="E14" s="1306"/>
      <c r="F14" s="1307"/>
      <c r="G14" s="1308"/>
      <c r="H14" s="1315"/>
      <c r="I14" s="1305">
        <f>ROUND(D14*E14*F14*G14/10000,0)</f>
        <v>0</v>
      </c>
    </row>
    <row r="15" spans="1:9">
      <c r="A15" s="3180"/>
      <c r="B15" s="3182" t="s">
        <v>1092</v>
      </c>
      <c r="C15" s="3182"/>
      <c r="D15" s="1310"/>
      <c r="E15" s="1310">
        <f>SUM(E12:E14)</f>
        <v>0</v>
      </c>
      <c r="F15" s="1311"/>
      <c r="G15" s="1308"/>
      <c r="H15" s="1315"/>
      <c r="I15" s="1316">
        <f>SUM(I12:I14)</f>
        <v>0</v>
      </c>
    </row>
    <row r="16" spans="1:9" ht="24">
      <c r="A16" s="3180" t="s">
        <v>1102</v>
      </c>
      <c r="B16" s="3181" t="s">
        <v>1103</v>
      </c>
      <c r="C16" s="3181"/>
      <c r="D16" s="1306" t="s">
        <v>1079</v>
      </c>
      <c r="E16" s="1317" t="s">
        <v>1104</v>
      </c>
      <c r="F16" s="1307" t="s">
        <v>1105</v>
      </c>
      <c r="G16" s="1308" t="s">
        <v>1083</v>
      </c>
      <c r="H16" s="1314" t="s">
        <v>1098</v>
      </c>
      <c r="I16" s="1305" t="s">
        <v>1084</v>
      </c>
    </row>
    <row r="17" spans="1:9" ht="14.25">
      <c r="A17" s="3180"/>
      <c r="B17" s="3181" t="s">
        <v>1106</v>
      </c>
      <c r="C17" s="3181"/>
      <c r="D17" s="1306"/>
      <c r="E17" s="1306"/>
      <c r="F17" s="1307"/>
      <c r="G17" s="1308"/>
      <c r="H17" s="1318"/>
      <c r="I17" s="1319">
        <f>ROUND(D17*E17*F17*G17/10000,0)</f>
        <v>0</v>
      </c>
    </row>
    <row r="18" spans="1:9" ht="14.25">
      <c r="A18" s="3180"/>
      <c r="B18" s="3181" t="s">
        <v>1107</v>
      </c>
      <c r="C18" s="3181"/>
      <c r="D18" s="1306"/>
      <c r="E18" s="1306"/>
      <c r="F18" s="1307"/>
      <c r="G18" s="1308"/>
      <c r="H18" s="1318"/>
      <c r="I18" s="1319">
        <f>ROUND(D18*E18*F18*G18/10000,0)</f>
        <v>0</v>
      </c>
    </row>
    <row r="19" spans="1:9" ht="14.25">
      <c r="A19" s="3180"/>
      <c r="B19" s="3181" t="s">
        <v>1108</v>
      </c>
      <c r="C19" s="3181"/>
      <c r="D19" s="1306"/>
      <c r="E19" s="1306"/>
      <c r="F19" s="1307"/>
      <c r="G19" s="1308"/>
      <c r="H19" s="1318"/>
      <c r="I19" s="1319">
        <f>ROUND(D19*E19*F19*G19/10000,0)</f>
        <v>0</v>
      </c>
    </row>
    <row r="20" spans="1:9">
      <c r="A20" s="3180"/>
      <c r="B20" s="3182" t="s">
        <v>1092</v>
      </c>
      <c r="C20" s="3182"/>
      <c r="D20" s="1310">
        <f>SUM(D17:D19)</f>
        <v>0</v>
      </c>
      <c r="E20" s="1310"/>
      <c r="F20" s="1311"/>
      <c r="G20" s="1308"/>
      <c r="H20" s="1315"/>
      <c r="I20" s="1316">
        <f>SUM(I17:I19)</f>
        <v>0</v>
      </c>
    </row>
    <row r="21" spans="1:9">
      <c r="A21" s="3180" t="s">
        <v>1109</v>
      </c>
      <c r="B21" s="3183"/>
      <c r="C21" s="3183"/>
      <c r="D21" s="3183"/>
      <c r="E21" s="3183"/>
      <c r="F21" s="3183"/>
      <c r="G21" s="3183"/>
      <c r="H21" s="1769">
        <v>0.1</v>
      </c>
      <c r="I21" s="1313">
        <f>ROUND(I10*H21,0)</f>
        <v>0</v>
      </c>
    </row>
    <row r="22" spans="1:9" ht="14.25">
      <c r="A22" s="3184" t="s">
        <v>1110</v>
      </c>
      <c r="B22" s="3185"/>
      <c r="C22" s="3186"/>
      <c r="D22" s="1320" t="s">
        <v>1111</v>
      </c>
      <c r="E22" s="1320" t="s">
        <v>1112</v>
      </c>
      <c r="F22" s="1321" t="s">
        <v>1113</v>
      </c>
      <c r="G22" s="1321" t="s">
        <v>1114</v>
      </c>
      <c r="H22" s="1314" t="s">
        <v>1115</v>
      </c>
      <c r="I22" s="1305" t="s">
        <v>1116</v>
      </c>
    </row>
    <row r="23" spans="1:9" ht="14.25" thickBot="1">
      <c r="A23" s="3187"/>
      <c r="B23" s="3188"/>
      <c r="C23" s="3189"/>
      <c r="D23" s="1322"/>
      <c r="E23" s="1322"/>
      <c r="F23" s="1322"/>
      <c r="G23" s="1323"/>
      <c r="H23" s="1324"/>
      <c r="I23" s="1325">
        <f>ROUND(E23*D23*F23*(1-G23)/10000,0)</f>
        <v>0</v>
      </c>
    </row>
    <row r="26" spans="1:9">
      <c r="A26" s="1326" t="s">
        <v>1117</v>
      </c>
      <c r="B26" s="1326"/>
      <c r="C26" s="1326"/>
      <c r="D26" s="1326"/>
      <c r="E26" s="3177">
        <f>C27-C30-C31-C32</f>
        <v>0</v>
      </c>
      <c r="F26" s="3177"/>
      <c r="G26" s="3177"/>
      <c r="H26" s="1741" t="s">
        <v>1341</v>
      </c>
    </row>
    <row r="27" spans="1:9">
      <c r="A27" s="1327">
        <v>1</v>
      </c>
      <c r="B27" s="1328" t="s">
        <v>1118</v>
      </c>
      <c r="C27" s="1328">
        <f>C28+C29</f>
        <v>0</v>
      </c>
      <c r="D27" s="1328"/>
      <c r="E27" s="3178"/>
      <c r="F27" s="3178"/>
      <c r="G27" s="3178"/>
    </row>
    <row r="28" spans="1:9">
      <c r="A28" s="1329" t="s">
        <v>1119</v>
      </c>
      <c r="B28" s="1328" t="s">
        <v>1120</v>
      </c>
      <c r="C28" s="1328"/>
      <c r="D28" s="1328"/>
      <c r="E28" s="3178"/>
      <c r="F28" s="3178"/>
      <c r="G28" s="317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9"/>
      <c r="F32" s="3179"/>
      <c r="G32" s="3179"/>
    </row>
    <row r="33" spans="1:7" hidden="1">
      <c r="A33" s="3174" t="s">
        <v>1129</v>
      </c>
      <c r="B33" s="3175"/>
      <c r="C33" s="3175"/>
      <c r="D33" s="3176"/>
      <c r="E33" s="3177"/>
      <c r="F33" s="3177"/>
      <c r="G33" s="3177"/>
    </row>
    <row r="34" spans="1:7" hidden="1">
      <c r="A34" s="1331">
        <v>1</v>
      </c>
      <c r="B34" s="1328" t="s">
        <v>1130</v>
      </c>
      <c r="C34" s="1328"/>
      <c r="D34" s="1328"/>
      <c r="E34" s="3178"/>
      <c r="F34" s="3178"/>
      <c r="G34" s="3178"/>
    </row>
    <row r="35" spans="1:7" hidden="1">
      <c r="A35" s="1331">
        <v>2</v>
      </c>
      <c r="B35" s="1328" t="s">
        <v>1131</v>
      </c>
      <c r="C35" s="1328"/>
      <c r="D35" s="1328"/>
      <c r="E35" s="3178"/>
      <c r="F35" s="3178"/>
      <c r="G35" s="3178"/>
    </row>
    <row r="36" spans="1:7" hidden="1">
      <c r="A36" s="1331">
        <v>3</v>
      </c>
      <c r="B36" s="1328" t="s">
        <v>1132</v>
      </c>
      <c r="C36" s="1328"/>
      <c r="D36" s="1328"/>
      <c r="E36" s="3178"/>
      <c r="F36" s="3178"/>
      <c r="G36" s="3178"/>
    </row>
    <row r="37" spans="1:7" hidden="1">
      <c r="A37" s="1331">
        <v>4</v>
      </c>
      <c r="B37" s="1328" t="s">
        <v>1133</v>
      </c>
      <c r="C37" s="1328"/>
      <c r="D37" s="1328"/>
      <c r="E37" s="3178"/>
      <c r="F37" s="3178"/>
      <c r="G37" s="3178"/>
    </row>
    <row r="38" spans="1:7" hidden="1">
      <c r="A38" s="3174" t="s">
        <v>1134</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3180</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3754</v>
      </c>
      <c r="C2" s="2589" t="s">
        <v>70</v>
      </c>
      <c r="D2" s="1368" t="e">
        <f ca="1">SUMIF(INDIRECT("'"&amp;F2&amp;"'"&amp;"!A:A"),"承租人权益价值",INDIRECT("'"&amp;F2&amp;"'"&amp;"!c:c"))</f>
        <v>#REF!</v>
      </c>
      <c r="E2" s="2590" t="s">
        <v>2331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84248.5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98" t="s">
        <v>2539</v>
      </c>
      <c r="D4" s="3199"/>
      <c r="E4" s="3200" t="s">
        <v>2540</v>
      </c>
      <c r="F4" s="3201"/>
      <c r="G4" s="3198" t="s">
        <v>2541</v>
      </c>
      <c r="H4" s="3199"/>
      <c r="I4" s="3198" t="s">
        <v>2542</v>
      </c>
      <c r="J4" s="3199"/>
      <c r="K4" s="2599" t="s">
        <v>2543</v>
      </c>
      <c r="L4" s="1133"/>
      <c r="M4" s="1134"/>
      <c r="N4" s="1134"/>
      <c r="O4" s="1134"/>
      <c r="P4" s="3202" t="s">
        <v>2544</v>
      </c>
      <c r="Q4" s="3203"/>
      <c r="R4" s="3208" t="s">
        <v>2540</v>
      </c>
      <c r="S4" s="3209"/>
      <c r="T4" s="3208" t="s">
        <v>2541</v>
      </c>
      <c r="U4" s="3209"/>
      <c r="V4" s="3223" t="s">
        <v>2542</v>
      </c>
      <c r="W4" s="3223"/>
      <c r="X4" s="2959"/>
      <c r="Y4" s="3208" t="s">
        <v>2544</v>
      </c>
      <c r="Z4" s="3209"/>
      <c r="AA4" s="3195" t="s">
        <v>2540</v>
      </c>
      <c r="AB4" s="3195" t="s">
        <v>2541</v>
      </c>
      <c r="AC4" s="3195" t="s">
        <v>2542</v>
      </c>
    </row>
    <row r="5" spans="1:29" ht="15">
      <c r="A5" s="405"/>
      <c r="B5" s="406"/>
      <c r="C5" s="3212" t="s">
        <v>2545</v>
      </c>
      <c r="D5" s="3213"/>
      <c r="E5" s="2944" t="s">
        <v>3157</v>
      </c>
      <c r="F5" s="2945"/>
      <c r="G5" s="2944" t="s">
        <v>3157</v>
      </c>
      <c r="H5" s="2945"/>
      <c r="I5" s="2944" t="s">
        <v>3157</v>
      </c>
      <c r="J5" s="2945"/>
      <c r="K5" s="2600"/>
      <c r="L5" s="1133"/>
      <c r="M5" s="1134"/>
      <c r="N5" s="1134"/>
      <c r="O5" s="1134"/>
      <c r="P5" s="3204"/>
      <c r="Q5" s="3205"/>
      <c r="R5" s="3210"/>
      <c r="S5" s="3211"/>
      <c r="T5" s="3210"/>
      <c r="U5" s="3211"/>
      <c r="V5" s="3223"/>
      <c r="W5" s="3223"/>
      <c r="X5" s="2959"/>
      <c r="Y5" s="3210"/>
      <c r="Z5" s="3211"/>
      <c r="AA5" s="3196"/>
      <c r="AB5" s="3196"/>
      <c r="AC5" s="3196"/>
    </row>
    <row r="6" spans="1:29" ht="15.75" thickBot="1">
      <c r="A6" s="407"/>
      <c r="B6" s="408"/>
      <c r="C6" s="3214" t="s">
        <v>2549</v>
      </c>
      <c r="D6" s="3215"/>
      <c r="E6" s="3216" t="s">
        <v>2549</v>
      </c>
      <c r="F6" s="3217"/>
      <c r="G6" s="3218" t="s">
        <v>2549</v>
      </c>
      <c r="H6" s="3219"/>
      <c r="I6" s="3214" t="s">
        <v>2549</v>
      </c>
      <c r="J6" s="3215"/>
      <c r="K6" s="2600" t="s">
        <v>2550</v>
      </c>
      <c r="L6" s="1133"/>
      <c r="M6" s="1134"/>
      <c r="N6" s="1134"/>
      <c r="O6" s="1134"/>
      <c r="P6" s="3206"/>
      <c r="Q6" s="3207"/>
      <c r="R6" s="3210"/>
      <c r="S6" s="3211"/>
      <c r="T6" s="3221"/>
      <c r="U6" s="3222"/>
      <c r="V6" s="3223"/>
      <c r="W6" s="3223"/>
      <c r="X6" s="2959"/>
      <c r="Y6" s="3221"/>
      <c r="Z6" s="3222"/>
      <c r="AA6" s="3197"/>
      <c r="AB6" s="3197"/>
      <c r="AC6" s="3197"/>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24" t="s">
        <v>2552</v>
      </c>
      <c r="Q7" s="3225"/>
      <c r="R7" s="771" t="s">
        <v>23</v>
      </c>
      <c r="S7" s="772">
        <f t="shared" ref="S7:S15" si="0">F7</f>
        <v>96</v>
      </c>
      <c r="T7" s="771" t="s">
        <v>23</v>
      </c>
      <c r="U7" s="772">
        <f t="shared" ref="U7:U15" si="1">H7</f>
        <v>98</v>
      </c>
      <c r="V7" s="771" t="s">
        <v>23</v>
      </c>
      <c r="W7" s="772">
        <f t="shared" ref="W7:W15" si="2">J7</f>
        <v>100</v>
      </c>
      <c r="X7" s="773"/>
      <c r="Y7" s="3224" t="s">
        <v>2552</v>
      </c>
      <c r="Z7" s="3226"/>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24" t="s">
        <v>2555</v>
      </c>
      <c r="Q8" s="3226"/>
      <c r="R8" s="771" t="s">
        <v>23</v>
      </c>
      <c r="S8" s="772">
        <f t="shared" si="0"/>
        <v>100</v>
      </c>
      <c r="T8" s="771" t="s">
        <v>23</v>
      </c>
      <c r="U8" s="772">
        <f t="shared" si="1"/>
        <v>100</v>
      </c>
      <c r="V8" s="771" t="s">
        <v>23</v>
      </c>
      <c r="W8" s="772">
        <f t="shared" si="2"/>
        <v>100</v>
      </c>
      <c r="X8" s="773"/>
      <c r="Y8" s="3224" t="s">
        <v>2555</v>
      </c>
      <c r="Z8" s="3226"/>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20" t="s">
        <v>2558</v>
      </c>
      <c r="Q9" s="2956" t="str">
        <f t="shared" ref="Q9:Q15" si="6">B9</f>
        <v>用途</v>
      </c>
      <c r="R9" s="771" t="s">
        <v>17</v>
      </c>
      <c r="S9" s="772">
        <f t="shared" si="0"/>
        <v>100</v>
      </c>
      <c r="T9" s="771" t="s">
        <v>17</v>
      </c>
      <c r="U9" s="772">
        <f t="shared" si="1"/>
        <v>100</v>
      </c>
      <c r="V9" s="771" t="s">
        <v>17</v>
      </c>
      <c r="W9" s="772">
        <f t="shared" si="2"/>
        <v>100</v>
      </c>
      <c r="X9" s="773"/>
      <c r="Y9" s="3023" t="s">
        <v>2559</v>
      </c>
      <c r="Z9" s="2957" t="str">
        <f t="shared" ref="Z9:Z15" si="7">Q9</f>
        <v>用途</v>
      </c>
      <c r="AA9" s="774">
        <f t="shared" si="3"/>
        <v>1</v>
      </c>
      <c r="AB9" s="774">
        <f t="shared" si="4"/>
        <v>1</v>
      </c>
      <c r="AC9" s="774">
        <f t="shared" si="5"/>
        <v>1</v>
      </c>
    </row>
    <row r="10" spans="1:29" s="428" customFormat="1" ht="27">
      <c r="A10" s="422"/>
      <c r="B10" s="2958"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20"/>
      <c r="Q10" s="2956" t="str">
        <f t="shared" si="6"/>
        <v>土地使用年限（年）</v>
      </c>
      <c r="R10" s="771" t="s">
        <v>17</v>
      </c>
      <c r="S10" s="772">
        <f t="shared" si="0"/>
        <v>100</v>
      </c>
      <c r="T10" s="771" t="s">
        <v>17</v>
      </c>
      <c r="U10" s="772">
        <f t="shared" si="1"/>
        <v>100</v>
      </c>
      <c r="V10" s="771" t="s">
        <v>17</v>
      </c>
      <c r="W10" s="772">
        <f t="shared" si="2"/>
        <v>100</v>
      </c>
      <c r="X10" s="773"/>
      <c r="Y10" s="3023"/>
      <c r="Z10" s="2957" t="str">
        <f t="shared" si="7"/>
        <v>土地使用年限（年）</v>
      </c>
      <c r="AA10" s="774">
        <f t="shared" si="3"/>
        <v>1</v>
      </c>
      <c r="AB10" s="774">
        <f t="shared" si="4"/>
        <v>1</v>
      </c>
      <c r="AC10" s="774">
        <f t="shared" si="5"/>
        <v>1</v>
      </c>
    </row>
    <row r="11" spans="1:29" ht="15">
      <c r="A11" s="429"/>
      <c r="B11" s="2958"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0"/>
      <c r="Q11" s="2956" t="str">
        <f t="shared" si="6"/>
        <v>容积率</v>
      </c>
      <c r="R11" s="771" t="s">
        <v>21</v>
      </c>
      <c r="S11" s="772">
        <f t="shared" si="0"/>
        <v>100</v>
      </c>
      <c r="T11" s="771" t="s">
        <v>21</v>
      </c>
      <c r="U11" s="772">
        <f t="shared" si="1"/>
        <v>100</v>
      </c>
      <c r="V11" s="771" t="s">
        <v>21</v>
      </c>
      <c r="W11" s="772">
        <f t="shared" si="2"/>
        <v>100</v>
      </c>
      <c r="X11" s="773"/>
      <c r="Y11" s="3023"/>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0"/>
      <c r="Q12" s="2956">
        <f t="shared" si="6"/>
        <v>0</v>
      </c>
      <c r="R12" s="771" t="s">
        <v>21</v>
      </c>
      <c r="S12" s="772">
        <f t="shared" si="0"/>
        <v>100</v>
      </c>
      <c r="T12" s="771" t="s">
        <v>21</v>
      </c>
      <c r="U12" s="772">
        <f t="shared" si="1"/>
        <v>100</v>
      </c>
      <c r="V12" s="771" t="s">
        <v>21</v>
      </c>
      <c r="W12" s="772">
        <f t="shared" si="2"/>
        <v>100</v>
      </c>
      <c r="X12" s="773"/>
      <c r="Y12" s="3023"/>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0"/>
      <c r="Q13" s="2956">
        <f t="shared" si="6"/>
        <v>0</v>
      </c>
      <c r="R13" s="771" t="s">
        <v>21</v>
      </c>
      <c r="S13" s="772">
        <f t="shared" si="0"/>
        <v>100</v>
      </c>
      <c r="T13" s="771" t="s">
        <v>21</v>
      </c>
      <c r="U13" s="772">
        <f t="shared" si="1"/>
        <v>100</v>
      </c>
      <c r="V13" s="771" t="s">
        <v>21</v>
      </c>
      <c r="W13" s="772">
        <f t="shared" si="2"/>
        <v>100</v>
      </c>
      <c r="X13" s="773"/>
      <c r="Y13" s="3023"/>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0"/>
      <c r="Q14" s="2956">
        <f t="shared" si="6"/>
        <v>0</v>
      </c>
      <c r="R14" s="771" t="s">
        <v>21</v>
      </c>
      <c r="S14" s="772">
        <f t="shared" si="0"/>
        <v>100</v>
      </c>
      <c r="T14" s="771" t="s">
        <v>21</v>
      </c>
      <c r="U14" s="772">
        <f t="shared" si="1"/>
        <v>100</v>
      </c>
      <c r="V14" s="771" t="s">
        <v>21</v>
      </c>
      <c r="W14" s="772">
        <f t="shared" si="2"/>
        <v>100</v>
      </c>
      <c r="X14" s="773"/>
      <c r="Y14" s="3023"/>
      <c r="Z14" s="2957">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27" t="s">
        <v>2563</v>
      </c>
      <c r="Q15" s="2961" t="str">
        <f t="shared" si="6"/>
        <v>居住社区成熟度</v>
      </c>
      <c r="R15" s="775" t="s">
        <v>21</v>
      </c>
      <c r="S15" s="776">
        <f t="shared" si="0"/>
        <v>100</v>
      </c>
      <c r="T15" s="775" t="s">
        <v>21</v>
      </c>
      <c r="U15" s="776">
        <f t="shared" si="1"/>
        <v>100</v>
      </c>
      <c r="V15" s="775" t="s">
        <v>21</v>
      </c>
      <c r="W15" s="776">
        <f t="shared" si="2"/>
        <v>100</v>
      </c>
      <c r="X15" s="2959"/>
      <c r="Y15" s="3229" t="s">
        <v>2563</v>
      </c>
      <c r="Z15" s="2960" t="str">
        <f t="shared" si="7"/>
        <v>居住社区成熟度</v>
      </c>
      <c r="AA15" s="2962">
        <f t="shared" si="3"/>
        <v>1</v>
      </c>
      <c r="AB15" s="2962">
        <f t="shared" si="4"/>
        <v>1</v>
      </c>
      <c r="AC15" s="2962">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28"/>
      <c r="Q16" s="2961"/>
      <c r="R16" s="775"/>
      <c r="S16" s="776"/>
      <c r="T16" s="775"/>
      <c r="U16" s="776"/>
      <c r="V16" s="775"/>
      <c r="W16" s="776"/>
      <c r="X16" s="2959"/>
      <c r="Y16" s="3230"/>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28"/>
      <c r="Q17" s="2961" t="str">
        <f>B17</f>
        <v>交通便捷度</v>
      </c>
      <c r="R17" s="775" t="s">
        <v>21</v>
      </c>
      <c r="S17" s="776">
        <f>F17</f>
        <v>100</v>
      </c>
      <c r="T17" s="775" t="s">
        <v>21</v>
      </c>
      <c r="U17" s="776">
        <f>H17</f>
        <v>100</v>
      </c>
      <c r="V17" s="775" t="s">
        <v>21</v>
      </c>
      <c r="W17" s="776">
        <f>J17</f>
        <v>100</v>
      </c>
      <c r="X17" s="2959"/>
      <c r="Y17" s="3230"/>
      <c r="Z17" s="2960" t="str">
        <f>Q17</f>
        <v>交通便捷度</v>
      </c>
      <c r="AA17" s="2962">
        <f t="shared" si="3"/>
        <v>1</v>
      </c>
      <c r="AB17" s="2962">
        <f t="shared" si="4"/>
        <v>1</v>
      </c>
      <c r="AC17" s="2962">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28"/>
      <c r="Q18" s="2961"/>
      <c r="R18" s="775"/>
      <c r="S18" s="776"/>
      <c r="T18" s="775"/>
      <c r="U18" s="776"/>
      <c r="V18" s="775"/>
      <c r="W18" s="776"/>
      <c r="X18" s="2959"/>
      <c r="Y18" s="3230"/>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28"/>
      <c r="Q19" s="2961" t="str">
        <f>B19</f>
        <v>公共配套设施</v>
      </c>
      <c r="R19" s="775" t="s">
        <v>21</v>
      </c>
      <c r="S19" s="776">
        <f>F19</f>
        <v>100</v>
      </c>
      <c r="T19" s="775" t="s">
        <v>21</v>
      </c>
      <c r="U19" s="776">
        <f>H19</f>
        <v>100</v>
      </c>
      <c r="V19" s="775" t="s">
        <v>21</v>
      </c>
      <c r="W19" s="776">
        <f>J19</f>
        <v>100</v>
      </c>
      <c r="X19" s="2959"/>
      <c r="Y19" s="3230"/>
      <c r="Z19" s="2960" t="str">
        <f>Q19</f>
        <v>公共配套设施</v>
      </c>
      <c r="AA19" s="2962">
        <f t="shared" si="3"/>
        <v>1</v>
      </c>
      <c r="AB19" s="2962">
        <f t="shared" si="4"/>
        <v>1</v>
      </c>
      <c r="AC19" s="2962">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28"/>
      <c r="Q20" s="2961"/>
      <c r="R20" s="775"/>
      <c r="S20" s="776"/>
      <c r="T20" s="775"/>
      <c r="U20" s="776"/>
      <c r="V20" s="775"/>
      <c r="W20" s="776"/>
      <c r="X20" s="2959"/>
      <c r="Y20" s="3230"/>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28"/>
      <c r="Q21" s="2961" t="str">
        <f>B21</f>
        <v>基础设施水平</v>
      </c>
      <c r="R21" s="775" t="s">
        <v>17</v>
      </c>
      <c r="S21" s="776">
        <f>F21</f>
        <v>100</v>
      </c>
      <c r="T21" s="775" t="s">
        <v>17</v>
      </c>
      <c r="U21" s="776">
        <f>H21</f>
        <v>100</v>
      </c>
      <c r="V21" s="775" t="s">
        <v>17</v>
      </c>
      <c r="W21" s="776">
        <f>J21</f>
        <v>100</v>
      </c>
      <c r="X21" s="2959"/>
      <c r="Y21" s="3230"/>
      <c r="Z21" s="2960" t="str">
        <f>Q21</f>
        <v>基础设施水平</v>
      </c>
      <c r="AA21" s="2962">
        <f t="shared" ref="AA21" si="8">D21/F21</f>
        <v>1</v>
      </c>
      <c r="AB21" s="2962">
        <f t="shared" ref="AB21" si="9">D21/H21</f>
        <v>1</v>
      </c>
      <c r="AC21" s="2962">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28"/>
      <c r="Q22" s="2961"/>
      <c r="R22" s="775"/>
      <c r="S22" s="776"/>
      <c r="T22" s="775"/>
      <c r="U22" s="776"/>
      <c r="V22" s="775"/>
      <c r="W22" s="776"/>
      <c r="X22" s="2959"/>
      <c r="Y22" s="3230"/>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28"/>
      <c r="Q23" s="2961" t="str">
        <f>B23</f>
        <v>自然及人文环境</v>
      </c>
      <c r="R23" s="775" t="s">
        <v>21</v>
      </c>
      <c r="S23" s="776">
        <f>F23</f>
        <v>100</v>
      </c>
      <c r="T23" s="775" t="s">
        <v>21</v>
      </c>
      <c r="U23" s="776">
        <f>H23</f>
        <v>100</v>
      </c>
      <c r="V23" s="775" t="s">
        <v>21</v>
      </c>
      <c r="W23" s="776">
        <f>J23</f>
        <v>100</v>
      </c>
      <c r="X23" s="2959"/>
      <c r="Y23" s="3230"/>
      <c r="Z23" s="2960" t="str">
        <f>Q23</f>
        <v>自然及人文环境</v>
      </c>
      <c r="AA23" s="2962">
        <f>D23/F23</f>
        <v>1</v>
      </c>
      <c r="AB23" s="2962">
        <f>D23/H23</f>
        <v>1</v>
      </c>
      <c r="AC23" s="2962">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28"/>
      <c r="Q24" s="2961"/>
      <c r="R24" s="775"/>
      <c r="S24" s="776"/>
      <c r="T24" s="775"/>
      <c r="U24" s="776"/>
      <c r="V24" s="775"/>
      <c r="W24" s="776"/>
      <c r="X24" s="2959"/>
      <c r="Y24" s="3230"/>
      <c r="Z24" s="2960"/>
      <c r="AA24" s="2962">
        <v>1</v>
      </c>
      <c r="AB24" s="2962">
        <v>1</v>
      </c>
      <c r="AC24" s="2962">
        <v>1</v>
      </c>
    </row>
    <row r="25" spans="1:29" ht="15">
      <c r="A25" s="429"/>
      <c r="B25" s="2958"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28"/>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230"/>
      <c r="Z25" s="2960" t="str">
        <f>Q25</f>
        <v>楼层-1</v>
      </c>
      <c r="AA25" s="2962">
        <f t="shared" ref="AA25:AA46" si="15">D25/F25</f>
        <v>1</v>
      </c>
      <c r="AB25" s="2962">
        <f t="shared" ref="AB25:AB46" si="16">D25/H25</f>
        <v>1</v>
      </c>
      <c r="AC25" s="2962">
        <f t="shared" ref="AC25:AC46" si="17">D25/J25</f>
        <v>1</v>
      </c>
    </row>
    <row r="26" spans="1:29" ht="15">
      <c r="A26" s="429"/>
      <c r="B26" s="2958" t="s">
        <v>2565</v>
      </c>
      <c r="C26" s="2949" t="s">
        <v>3162</v>
      </c>
      <c r="D26" s="436">
        <v>100</v>
      </c>
      <c r="E26" s="2949" t="s">
        <v>3162</v>
      </c>
      <c r="F26" s="436">
        <f>SUMIF(88:88,E26,89:89)-SUMIF(88:88,C26,89:89)+100</f>
        <v>100</v>
      </c>
      <c r="G26" s="2949" t="s">
        <v>3162</v>
      </c>
      <c r="H26" s="436">
        <f>SUMIF(88:88,G26,89:89)-SUMIF(88:88,C26,89:89)+100</f>
        <v>100</v>
      </c>
      <c r="I26" s="2949" t="s">
        <v>3162</v>
      </c>
      <c r="J26" s="436">
        <f>SUMIF(88:88,I26,89:89)-SUMIF(88:88,C26,89:89)+100</f>
        <v>100</v>
      </c>
      <c r="K26" s="427">
        <v>2</v>
      </c>
      <c r="L26" s="1143"/>
      <c r="M26" s="1134"/>
      <c r="N26" s="1134"/>
      <c r="O26" s="1134"/>
      <c r="P26" s="3228"/>
      <c r="Q26" s="2961" t="str">
        <f t="shared" si="11"/>
        <v>朝向</v>
      </c>
      <c r="R26" s="775" t="s">
        <v>21</v>
      </c>
      <c r="S26" s="776">
        <f t="shared" si="12"/>
        <v>100</v>
      </c>
      <c r="T26" s="775" t="s">
        <v>21</v>
      </c>
      <c r="U26" s="776">
        <f t="shared" si="13"/>
        <v>100</v>
      </c>
      <c r="V26" s="775" t="s">
        <v>21</v>
      </c>
      <c r="W26" s="776">
        <f t="shared" si="14"/>
        <v>100</v>
      </c>
      <c r="X26" s="2959"/>
      <c r="Y26" s="3230"/>
      <c r="Z26" s="2960" t="str">
        <f>Q26</f>
        <v>朝向</v>
      </c>
      <c r="AA26" s="2962">
        <f t="shared" si="15"/>
        <v>1</v>
      </c>
      <c r="AB26" s="2962">
        <f t="shared" si="16"/>
        <v>1</v>
      </c>
      <c r="AC26" s="2962">
        <f t="shared" si="17"/>
        <v>1</v>
      </c>
    </row>
    <row r="27" spans="1:29" s="117" customFormat="1" ht="15">
      <c r="A27" s="432"/>
      <c r="B27" s="2946" t="s">
        <v>3164</v>
      </c>
      <c r="C27" s="2947" t="s">
        <v>3161</v>
      </c>
      <c r="D27" s="463">
        <v>100</v>
      </c>
      <c r="E27" s="2948" t="s">
        <v>3159</v>
      </c>
      <c r="F27" s="463">
        <f>SUMIF(90:90,E27,91:91)-SUMIF(90:90,C27,91:91)+100</f>
        <v>105</v>
      </c>
      <c r="G27" s="2948" t="s">
        <v>3159</v>
      </c>
      <c r="H27" s="463">
        <f>SUMIF(90:90,G27,91:91)-SUMIF(90:90,C27,91:91)+100</f>
        <v>105</v>
      </c>
      <c r="I27" s="2948" t="s">
        <v>3159</v>
      </c>
      <c r="J27" s="463">
        <f>SUMIF(90:90,I27,91:91)-SUMIF(90:90,C27,91:91)+100</f>
        <v>105</v>
      </c>
      <c r="K27" s="2603"/>
      <c r="L27" s="1135"/>
      <c r="M27" s="1136"/>
      <c r="N27" s="1136"/>
      <c r="O27" s="1136"/>
      <c r="P27" s="3228"/>
      <c r="Q27" s="2956" t="str">
        <f t="shared" si="11"/>
        <v>楼层</v>
      </c>
      <c r="R27" s="771" t="s">
        <v>21</v>
      </c>
      <c r="S27" s="772">
        <f t="shared" si="12"/>
        <v>105</v>
      </c>
      <c r="T27" s="771" t="s">
        <v>21</v>
      </c>
      <c r="U27" s="772">
        <f t="shared" si="13"/>
        <v>105</v>
      </c>
      <c r="V27" s="771" t="s">
        <v>21</v>
      </c>
      <c r="W27" s="772">
        <f t="shared" si="14"/>
        <v>105</v>
      </c>
      <c r="X27" s="773"/>
      <c r="Y27" s="3230"/>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28"/>
      <c r="Q28" s="2961">
        <f t="shared" si="11"/>
        <v>111</v>
      </c>
      <c r="R28" s="775" t="s">
        <v>21</v>
      </c>
      <c r="S28" s="776">
        <f t="shared" si="12"/>
        <v>100</v>
      </c>
      <c r="T28" s="775" t="s">
        <v>21</v>
      </c>
      <c r="U28" s="776">
        <f t="shared" si="13"/>
        <v>100</v>
      </c>
      <c r="V28" s="775" t="s">
        <v>21</v>
      </c>
      <c r="W28" s="776">
        <f t="shared" si="14"/>
        <v>100</v>
      </c>
      <c r="X28" s="2959"/>
      <c r="Y28" s="3230"/>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28"/>
      <c r="Q29" s="2961">
        <f t="shared" si="11"/>
        <v>111</v>
      </c>
      <c r="R29" s="775" t="s">
        <v>21</v>
      </c>
      <c r="S29" s="776">
        <f t="shared" si="12"/>
        <v>100</v>
      </c>
      <c r="T29" s="775" t="s">
        <v>21</v>
      </c>
      <c r="U29" s="776">
        <f t="shared" si="13"/>
        <v>100</v>
      </c>
      <c r="V29" s="775" t="s">
        <v>21</v>
      </c>
      <c r="W29" s="776">
        <f t="shared" si="14"/>
        <v>100</v>
      </c>
      <c r="X29" s="2959"/>
      <c r="Y29" s="3230"/>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28"/>
      <c r="Q30" s="2961">
        <f t="shared" si="11"/>
        <v>111</v>
      </c>
      <c r="R30" s="775" t="s">
        <v>21</v>
      </c>
      <c r="S30" s="776">
        <f t="shared" si="12"/>
        <v>100</v>
      </c>
      <c r="T30" s="775" t="s">
        <v>21</v>
      </c>
      <c r="U30" s="776">
        <f t="shared" si="13"/>
        <v>100</v>
      </c>
      <c r="V30" s="775" t="s">
        <v>21</v>
      </c>
      <c r="W30" s="776">
        <f t="shared" si="14"/>
        <v>100</v>
      </c>
      <c r="X30" s="2959"/>
      <c r="Y30" s="3230"/>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28"/>
      <c r="Q31" s="2961">
        <f t="shared" si="11"/>
        <v>111</v>
      </c>
      <c r="R31" s="775" t="s">
        <v>21</v>
      </c>
      <c r="S31" s="776">
        <f t="shared" si="12"/>
        <v>100</v>
      </c>
      <c r="T31" s="775" t="s">
        <v>21</v>
      </c>
      <c r="U31" s="776">
        <f t="shared" si="13"/>
        <v>100</v>
      </c>
      <c r="V31" s="775" t="s">
        <v>21</v>
      </c>
      <c r="W31" s="776">
        <f t="shared" si="14"/>
        <v>100</v>
      </c>
      <c r="X31" s="2959"/>
      <c r="Y31" s="3230"/>
      <c r="Z31" s="2960">
        <f t="shared" si="18"/>
        <v>111</v>
      </c>
      <c r="AA31" s="2962">
        <f t="shared" si="15"/>
        <v>1</v>
      </c>
      <c r="AB31" s="2962">
        <f t="shared" si="16"/>
        <v>1</v>
      </c>
      <c r="AC31" s="2962">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31" t="s">
        <v>2568</v>
      </c>
      <c r="Q32" s="2961" t="str">
        <f t="shared" si="11"/>
        <v>建筑类型</v>
      </c>
      <c r="R32" s="775" t="s">
        <v>21</v>
      </c>
      <c r="S32" s="776">
        <f t="shared" si="12"/>
        <v>100</v>
      </c>
      <c r="T32" s="775" t="s">
        <v>21</v>
      </c>
      <c r="U32" s="776">
        <f t="shared" si="13"/>
        <v>100</v>
      </c>
      <c r="V32" s="775" t="s">
        <v>21</v>
      </c>
      <c r="W32" s="776">
        <f t="shared" si="14"/>
        <v>100</v>
      </c>
      <c r="X32" s="2959"/>
      <c r="Y32" s="3234" t="s">
        <v>2568</v>
      </c>
      <c r="Z32" s="2960" t="str">
        <f t="shared" si="18"/>
        <v>建筑类型</v>
      </c>
      <c r="AA32" s="2962">
        <f t="shared" si="15"/>
        <v>1</v>
      </c>
      <c r="AB32" s="2962">
        <f t="shared" si="16"/>
        <v>1</v>
      </c>
      <c r="AC32" s="2962">
        <f t="shared" si="17"/>
        <v>1</v>
      </c>
    </row>
    <row r="33" spans="1:29" s="472" customFormat="1" ht="15">
      <c r="A33" s="469"/>
      <c r="B33" s="2958" t="s">
        <v>2569</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232"/>
      <c r="Q33" s="777" t="str">
        <f t="shared" si="11"/>
        <v>项目建筑规模</v>
      </c>
      <c r="R33" s="778" t="s">
        <v>21</v>
      </c>
      <c r="S33" s="779">
        <f t="shared" si="12"/>
        <v>100</v>
      </c>
      <c r="T33" s="778" t="s">
        <v>21</v>
      </c>
      <c r="U33" s="779">
        <f t="shared" si="13"/>
        <v>100</v>
      </c>
      <c r="V33" s="778" t="s">
        <v>21</v>
      </c>
      <c r="W33" s="779">
        <f t="shared" si="14"/>
        <v>100</v>
      </c>
      <c r="X33" s="780"/>
      <c r="Y33" s="3234"/>
      <c r="Z33" s="781" t="str">
        <f t="shared" si="18"/>
        <v>项目建筑规模</v>
      </c>
      <c r="AA33" s="2962">
        <f t="shared" si="15"/>
        <v>1</v>
      </c>
      <c r="AB33" s="2962">
        <f t="shared" si="16"/>
        <v>1</v>
      </c>
      <c r="AC33" s="2962">
        <f t="shared" si="17"/>
        <v>1</v>
      </c>
    </row>
    <row r="34" spans="1:29" ht="15">
      <c r="A34" s="473"/>
      <c r="B34" s="2958"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32"/>
      <c r="Q34" s="2961" t="str">
        <f t="shared" si="11"/>
        <v>建筑结构</v>
      </c>
      <c r="R34" s="775" t="s">
        <v>21</v>
      </c>
      <c r="S34" s="776">
        <f t="shared" si="12"/>
        <v>100</v>
      </c>
      <c r="T34" s="775" t="s">
        <v>21</v>
      </c>
      <c r="U34" s="776">
        <f t="shared" si="13"/>
        <v>100</v>
      </c>
      <c r="V34" s="775" t="s">
        <v>21</v>
      </c>
      <c r="W34" s="776">
        <f t="shared" si="14"/>
        <v>100</v>
      </c>
      <c r="X34" s="2959"/>
      <c r="Y34" s="3234"/>
      <c r="Z34" s="2960" t="str">
        <f t="shared" si="18"/>
        <v>建筑结构</v>
      </c>
      <c r="AA34" s="2962">
        <f t="shared" si="15"/>
        <v>1</v>
      </c>
      <c r="AB34" s="2962">
        <f t="shared" si="16"/>
        <v>1</v>
      </c>
      <c r="AC34" s="2962">
        <f t="shared" si="17"/>
        <v>1</v>
      </c>
    </row>
    <row r="35" spans="1:29" ht="15">
      <c r="A35" s="473"/>
      <c r="B35" s="2958"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32"/>
      <c r="Q35" s="2961" t="str">
        <f t="shared" si="11"/>
        <v>建筑品质</v>
      </c>
      <c r="R35" s="775" t="s">
        <v>21</v>
      </c>
      <c r="S35" s="776">
        <f t="shared" si="12"/>
        <v>100</v>
      </c>
      <c r="T35" s="775" t="s">
        <v>21</v>
      </c>
      <c r="U35" s="776">
        <f t="shared" si="13"/>
        <v>100</v>
      </c>
      <c r="V35" s="775" t="s">
        <v>21</v>
      </c>
      <c r="W35" s="776">
        <f t="shared" si="14"/>
        <v>100</v>
      </c>
      <c r="X35" s="2959"/>
      <c r="Y35" s="3234"/>
      <c r="Z35" s="2960" t="str">
        <f t="shared" si="18"/>
        <v>建筑品质</v>
      </c>
      <c r="AA35" s="2962">
        <f t="shared" si="15"/>
        <v>1</v>
      </c>
      <c r="AB35" s="2962">
        <f t="shared" si="16"/>
        <v>1</v>
      </c>
      <c r="AC35" s="2962">
        <f t="shared" si="17"/>
        <v>1</v>
      </c>
    </row>
    <row r="36" spans="1:29" ht="15">
      <c r="A36" s="473"/>
      <c r="B36" s="2958"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32"/>
      <c r="Q36" s="2961" t="str">
        <f t="shared" si="11"/>
        <v>公共部分装修</v>
      </c>
      <c r="R36" s="775" t="s">
        <v>21</v>
      </c>
      <c r="S36" s="776">
        <f t="shared" si="12"/>
        <v>100</v>
      </c>
      <c r="T36" s="775" t="s">
        <v>21</v>
      </c>
      <c r="U36" s="776">
        <f t="shared" si="13"/>
        <v>100</v>
      </c>
      <c r="V36" s="775" t="s">
        <v>21</v>
      </c>
      <c r="W36" s="776">
        <f t="shared" si="14"/>
        <v>100</v>
      </c>
      <c r="X36" s="2959"/>
      <c r="Y36" s="3234"/>
      <c r="Z36" s="2960" t="str">
        <f t="shared" si="18"/>
        <v>公共部分装修</v>
      </c>
      <c r="AA36" s="2962">
        <f t="shared" si="15"/>
        <v>1</v>
      </c>
      <c r="AB36" s="2962">
        <f t="shared" si="16"/>
        <v>1</v>
      </c>
      <c r="AC36" s="2962">
        <f t="shared" si="17"/>
        <v>1</v>
      </c>
    </row>
    <row r="37" spans="1:29" s="117" customFormat="1" ht="15">
      <c r="A37" s="474"/>
      <c r="B37" s="2958"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32"/>
      <c r="Q37" s="2956" t="str">
        <f t="shared" si="11"/>
        <v>成新度</v>
      </c>
      <c r="R37" s="771" t="s">
        <v>21</v>
      </c>
      <c r="S37" s="772">
        <f t="shared" si="12"/>
        <v>100</v>
      </c>
      <c r="T37" s="771" t="s">
        <v>21</v>
      </c>
      <c r="U37" s="772">
        <f t="shared" si="13"/>
        <v>100</v>
      </c>
      <c r="V37" s="771" t="s">
        <v>21</v>
      </c>
      <c r="W37" s="772">
        <f t="shared" si="14"/>
        <v>100</v>
      </c>
      <c r="X37" s="773"/>
      <c r="Y37" s="3234"/>
      <c r="Z37" s="2957" t="str">
        <f t="shared" si="18"/>
        <v>成新度</v>
      </c>
      <c r="AA37" s="774">
        <f t="shared" si="15"/>
        <v>1</v>
      </c>
      <c r="AB37" s="774">
        <f t="shared" si="16"/>
        <v>1</v>
      </c>
      <c r="AC37" s="774">
        <f t="shared" si="17"/>
        <v>1</v>
      </c>
    </row>
    <row r="38" spans="1:29" ht="15">
      <c r="A38" s="473"/>
      <c r="B38" s="2958"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32" t="s">
        <v>2568</v>
      </c>
      <c r="Q38" s="2961" t="str">
        <f t="shared" si="11"/>
        <v>物业管理</v>
      </c>
      <c r="R38" s="775" t="s">
        <v>21</v>
      </c>
      <c r="S38" s="776">
        <f t="shared" si="12"/>
        <v>100</v>
      </c>
      <c r="T38" s="775" t="s">
        <v>21</v>
      </c>
      <c r="U38" s="776">
        <f t="shared" si="13"/>
        <v>100</v>
      </c>
      <c r="V38" s="775" t="s">
        <v>21</v>
      </c>
      <c r="W38" s="776">
        <f t="shared" si="14"/>
        <v>100</v>
      </c>
      <c r="X38" s="2959"/>
      <c r="Y38" s="3234" t="s">
        <v>2568</v>
      </c>
      <c r="Z38" s="2960" t="str">
        <f t="shared" si="18"/>
        <v>物业管理</v>
      </c>
      <c r="AA38" s="2962">
        <f t="shared" si="15"/>
        <v>1</v>
      </c>
      <c r="AB38" s="2962">
        <f t="shared" si="16"/>
        <v>1</v>
      </c>
      <c r="AC38" s="2962">
        <f t="shared" si="17"/>
        <v>1</v>
      </c>
    </row>
    <row r="39" spans="1:29" ht="15">
      <c r="A39" s="473"/>
      <c r="B39" s="2958"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32"/>
      <c r="Q39" s="2961" t="str">
        <f t="shared" si="11"/>
        <v>市政基础设施</v>
      </c>
      <c r="R39" s="775" t="s">
        <v>21</v>
      </c>
      <c r="S39" s="776">
        <f t="shared" si="12"/>
        <v>100</v>
      </c>
      <c r="T39" s="775" t="s">
        <v>21</v>
      </c>
      <c r="U39" s="776">
        <f t="shared" si="13"/>
        <v>100</v>
      </c>
      <c r="V39" s="775" t="s">
        <v>21</v>
      </c>
      <c r="W39" s="776">
        <f t="shared" si="14"/>
        <v>100</v>
      </c>
      <c r="X39" s="2959"/>
      <c r="Y39" s="3234"/>
      <c r="Z39" s="2960" t="str">
        <f t="shared" si="18"/>
        <v>市政基础设施</v>
      </c>
      <c r="AA39" s="2962">
        <f t="shared" si="15"/>
        <v>1</v>
      </c>
      <c r="AB39" s="2962">
        <f t="shared" si="16"/>
        <v>1</v>
      </c>
      <c r="AC39" s="2962">
        <f t="shared" si="17"/>
        <v>1</v>
      </c>
    </row>
    <row r="40" spans="1:29" ht="15">
      <c r="A40" s="473"/>
      <c r="B40" s="2958"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232"/>
      <c r="Q40" s="2961" t="str">
        <f t="shared" si="11"/>
        <v>房型</v>
      </c>
      <c r="R40" s="775" t="s">
        <v>21</v>
      </c>
      <c r="S40" s="776">
        <f t="shared" si="12"/>
        <v>100</v>
      </c>
      <c r="T40" s="775" t="s">
        <v>21</v>
      </c>
      <c r="U40" s="776">
        <f t="shared" si="13"/>
        <v>100</v>
      </c>
      <c r="V40" s="775" t="s">
        <v>21</v>
      </c>
      <c r="W40" s="776">
        <f t="shared" si="14"/>
        <v>100</v>
      </c>
      <c r="X40" s="2959"/>
      <c r="Y40" s="3234"/>
      <c r="Z40" s="2960" t="str">
        <f t="shared" si="18"/>
        <v>房型</v>
      </c>
      <c r="AA40" s="2962">
        <f t="shared" si="15"/>
        <v>1</v>
      </c>
      <c r="AB40" s="2962">
        <f t="shared" si="16"/>
        <v>1</v>
      </c>
      <c r="AC40" s="2962">
        <f t="shared" si="17"/>
        <v>1</v>
      </c>
    </row>
    <row r="41" spans="1:29" s="472" customFormat="1" ht="28.5">
      <c r="A41" s="469"/>
      <c r="B41" s="2958"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32"/>
      <c r="Q41" s="777" t="str">
        <f t="shared" si="11"/>
        <v>单套/主力户型建筑面积</v>
      </c>
      <c r="R41" s="778" t="s">
        <v>21</v>
      </c>
      <c r="S41" s="779">
        <f t="shared" si="12"/>
        <v>100</v>
      </c>
      <c r="T41" s="778" t="s">
        <v>21</v>
      </c>
      <c r="U41" s="779">
        <f t="shared" si="13"/>
        <v>100</v>
      </c>
      <c r="V41" s="778" t="s">
        <v>21</v>
      </c>
      <c r="W41" s="779">
        <f t="shared" si="14"/>
        <v>100</v>
      </c>
      <c r="X41" s="780"/>
      <c r="Y41" s="3234"/>
      <c r="Z41" s="781" t="str">
        <f t="shared" si="18"/>
        <v>单套/主力户型建筑面积</v>
      </c>
      <c r="AA41" s="2962">
        <f t="shared" si="15"/>
        <v>1</v>
      </c>
      <c r="AB41" s="2962">
        <f t="shared" si="16"/>
        <v>1</v>
      </c>
      <c r="AC41" s="2962">
        <f t="shared" si="17"/>
        <v>1</v>
      </c>
    </row>
    <row r="42" spans="1:29" ht="15">
      <c r="A42" s="473"/>
      <c r="B42" s="2958"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32"/>
      <c r="Q42" s="2961" t="str">
        <f t="shared" si="11"/>
        <v>内部装修</v>
      </c>
      <c r="R42" s="775" t="s">
        <v>21</v>
      </c>
      <c r="S42" s="776">
        <f t="shared" si="12"/>
        <v>100</v>
      </c>
      <c r="T42" s="775" t="s">
        <v>21</v>
      </c>
      <c r="U42" s="776">
        <f t="shared" si="13"/>
        <v>100</v>
      </c>
      <c r="V42" s="775" t="s">
        <v>21</v>
      </c>
      <c r="W42" s="776">
        <f t="shared" si="14"/>
        <v>100</v>
      </c>
      <c r="X42" s="2959"/>
      <c r="Y42" s="3234"/>
      <c r="Z42" s="2960" t="str">
        <f t="shared" si="18"/>
        <v>内部装修</v>
      </c>
      <c r="AA42" s="2962">
        <f t="shared" si="15"/>
        <v>1</v>
      </c>
      <c r="AB42" s="2962">
        <f t="shared" si="16"/>
        <v>1</v>
      </c>
      <c r="AC42" s="2962">
        <f t="shared" si="17"/>
        <v>1</v>
      </c>
    </row>
    <row r="43" spans="1:29" ht="15">
      <c r="A43" s="473"/>
      <c r="B43" s="2958"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32"/>
      <c r="Q43" s="2961" t="str">
        <f t="shared" si="11"/>
        <v>内部装修维护情况</v>
      </c>
      <c r="R43" s="775" t="s">
        <v>21</v>
      </c>
      <c r="S43" s="776">
        <f t="shared" si="12"/>
        <v>100</v>
      </c>
      <c r="T43" s="775" t="s">
        <v>21</v>
      </c>
      <c r="U43" s="776">
        <f t="shared" si="13"/>
        <v>100</v>
      </c>
      <c r="V43" s="775" t="s">
        <v>21</v>
      </c>
      <c r="W43" s="776">
        <f t="shared" si="14"/>
        <v>100</v>
      </c>
      <c r="X43" s="2959"/>
      <c r="Y43" s="3234"/>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32"/>
      <c r="Q44" s="2956">
        <f t="shared" si="11"/>
        <v>111</v>
      </c>
      <c r="R44" s="771" t="s">
        <v>21</v>
      </c>
      <c r="S44" s="772">
        <f t="shared" si="12"/>
        <v>100</v>
      </c>
      <c r="T44" s="771" t="s">
        <v>21</v>
      </c>
      <c r="U44" s="772">
        <f t="shared" si="13"/>
        <v>100</v>
      </c>
      <c r="V44" s="771" t="s">
        <v>21</v>
      </c>
      <c r="W44" s="772">
        <f t="shared" si="14"/>
        <v>100</v>
      </c>
      <c r="X44" s="773"/>
      <c r="Y44" s="3234"/>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32"/>
      <c r="Q45" s="2961">
        <f t="shared" si="11"/>
        <v>111</v>
      </c>
      <c r="R45" s="775" t="s">
        <v>21</v>
      </c>
      <c r="S45" s="776">
        <f t="shared" si="12"/>
        <v>100</v>
      </c>
      <c r="T45" s="775" t="s">
        <v>21</v>
      </c>
      <c r="U45" s="776">
        <f t="shared" si="13"/>
        <v>100</v>
      </c>
      <c r="V45" s="775" t="s">
        <v>21</v>
      </c>
      <c r="W45" s="776">
        <f t="shared" si="14"/>
        <v>100</v>
      </c>
      <c r="X45" s="2959"/>
      <c r="Y45" s="3234"/>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33"/>
      <c r="Q46" s="2961">
        <f t="shared" si="11"/>
        <v>111</v>
      </c>
      <c r="R46" s="775" t="s">
        <v>20</v>
      </c>
      <c r="S46" s="776">
        <f t="shared" si="12"/>
        <v>100</v>
      </c>
      <c r="T46" s="775" t="s">
        <v>20</v>
      </c>
      <c r="U46" s="776">
        <f t="shared" si="13"/>
        <v>100</v>
      </c>
      <c r="V46" s="775" t="s">
        <v>20</v>
      </c>
      <c r="W46" s="776">
        <f t="shared" si="14"/>
        <v>100</v>
      </c>
      <c r="X46" s="2959"/>
      <c r="Y46" s="3235"/>
      <c r="Z46" s="2960">
        <f t="shared" si="18"/>
        <v>111</v>
      </c>
      <c r="AA46" s="2962">
        <f t="shared" si="15"/>
        <v>1</v>
      </c>
      <c r="AB46" s="2962">
        <f t="shared" si="16"/>
        <v>1</v>
      </c>
      <c r="AC46" s="2962">
        <f t="shared" si="17"/>
        <v>1</v>
      </c>
    </row>
    <row r="47" spans="1:29" ht="15">
      <c r="A47" s="480" t="s">
        <v>2580</v>
      </c>
      <c r="B47" s="481"/>
      <c r="C47" s="1410" t="s">
        <v>19</v>
      </c>
      <c r="D47" s="1411"/>
      <c r="E47" s="1412">
        <v>90000</v>
      </c>
      <c r="F47" s="1413"/>
      <c r="G47" s="1414">
        <v>80000</v>
      </c>
      <c r="H47" s="1415"/>
      <c r="I47" s="1412">
        <v>90000</v>
      </c>
      <c r="J47" s="1415"/>
      <c r="K47" s="2622"/>
      <c r="L47" s="1146"/>
      <c r="M47" s="1147"/>
      <c r="N47" s="1134"/>
      <c r="O47" s="1147"/>
      <c r="P47" s="3236" t="str">
        <f>A47</f>
        <v>成交单价（元/平方米）</v>
      </c>
      <c r="Q47" s="3236"/>
      <c r="R47" s="3237">
        <f>E47</f>
        <v>90000</v>
      </c>
      <c r="S47" s="3237"/>
      <c r="T47" s="3237">
        <f>G47</f>
        <v>80000</v>
      </c>
      <c r="U47" s="3237"/>
      <c r="V47" s="3237">
        <f>I47</f>
        <v>90000</v>
      </c>
      <c r="W47" s="3237"/>
      <c r="X47" s="760"/>
      <c r="Y47" s="782"/>
      <c r="Z47" s="760"/>
      <c r="AA47" s="760"/>
      <c r="AB47" s="760"/>
      <c r="AC47" s="760"/>
    </row>
    <row r="48" spans="1:29" ht="15.75" thickBot="1">
      <c r="A48" s="487" t="s">
        <v>2581</v>
      </c>
      <c r="B48" s="488"/>
      <c r="C48" s="1416">
        <f>R49</f>
        <v>84248.5</v>
      </c>
      <c r="D48" s="1417"/>
      <c r="E48" s="1418">
        <f>R48</f>
        <v>89285.7</v>
      </c>
      <c r="F48" s="1418"/>
      <c r="G48" s="1416">
        <f>T48</f>
        <v>77745.399999999994</v>
      </c>
      <c r="H48" s="1417"/>
      <c r="I48" s="1418">
        <f>V48</f>
        <v>85714.3</v>
      </c>
      <c r="J48" s="1417"/>
      <c r="K48" s="2623"/>
      <c r="L48" s="1146"/>
      <c r="M48" s="1147"/>
      <c r="N48" s="1147"/>
      <c r="O48" s="1147"/>
      <c r="P48" s="3236" t="str">
        <f>A48</f>
        <v>比较价值（元/平方米）</v>
      </c>
      <c r="Q48" s="3236"/>
      <c r="R48" s="3237">
        <f>IF(F1="售价",ROUND(PRODUCT(R47,AA7:AA46),0),ROUND(PRODUCT(R47,AA7:AA46),1))</f>
        <v>89285.7</v>
      </c>
      <c r="S48" s="3237"/>
      <c r="T48" s="3237">
        <f>IF(F1="售价",ROUND(PRODUCT(T47,AB7:AB46),0),ROUND(PRODUCT(T47,AB7:AB46),1))</f>
        <v>77745.399999999994</v>
      </c>
      <c r="U48" s="3237"/>
      <c r="V48" s="3237">
        <f>IF(F1="售价",ROUND(PRODUCT(V47,AC7:AC46),0),ROUND(PRODUCT(V47,AC7:AC46),1))</f>
        <v>85714.3</v>
      </c>
      <c r="W48" s="3237"/>
      <c r="X48" s="760"/>
      <c r="Y48" s="760"/>
      <c r="Z48" s="760"/>
      <c r="AA48" s="760"/>
      <c r="AB48" s="760"/>
      <c r="AC48" s="760"/>
    </row>
    <row r="49" spans="1:29" ht="15.75" thickBot="1">
      <c r="A49" s="493" t="s">
        <v>2582</v>
      </c>
      <c r="B49" s="494"/>
      <c r="C49" s="1419">
        <f>R49</f>
        <v>84248.5</v>
      </c>
      <c r="D49" s="1420"/>
      <c r="E49" s="1420"/>
      <c r="F49" s="1420"/>
      <c r="G49" s="1420"/>
      <c r="H49" s="1420"/>
      <c r="I49" s="1420"/>
      <c r="J49" s="1420"/>
      <c r="K49" s="2624"/>
      <c r="L49" s="1146"/>
      <c r="M49" s="1147"/>
      <c r="N49" s="1147"/>
      <c r="O49" s="1147"/>
      <c r="P49" s="3238" t="str">
        <f>A49</f>
        <v>估价对象XX用房的比较价值（楼面单价，元/平方米）</v>
      </c>
      <c r="Q49" s="3239"/>
      <c r="R49" s="3240">
        <f>IF(F1="售价",ROUND(AVERAGE(R48:V48),0),ROUND(AVERAGE(R48:V48),1))</f>
        <v>84248.5</v>
      </c>
      <c r="S49" s="3240"/>
      <c r="T49" s="3240"/>
      <c r="U49" s="3240"/>
      <c r="V49" s="3240"/>
      <c r="W49" s="3240"/>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8.000161280025786E-3</v>
      </c>
      <c r="F52" s="501" t="str">
        <f>IF(OR(E52&gt;=0.3,E52&lt;=-0.3),"超过30%","")</f>
        <v/>
      </c>
      <c r="G52" s="500">
        <f>IF(G47&lt;G48,G48/G47-1,G47/G48-1)</f>
        <v>2.8999786482544421E-2</v>
      </c>
      <c r="H52" s="501" t="str">
        <f>IF(OR(G52&gt;=0.3,G52&lt;=-0.3),"超过30%","")</f>
        <v/>
      </c>
      <c r="I52" s="500">
        <f>IF(I47&lt;I48,I48/I47-1,I47/I48-1)</f>
        <v>4.9999825000029086E-2</v>
      </c>
      <c r="J52" s="501" t="str">
        <f>IF(OR(I52&gt;=0.3,I52&lt;=-0.3),"超过30%","")</f>
        <v/>
      </c>
      <c r="K52" s="1109"/>
      <c r="L52" s="1110"/>
      <c r="M52" s="1147"/>
      <c r="N52" s="1147"/>
      <c r="O52" s="1147"/>
    </row>
    <row r="53" spans="1:29" ht="13.5" customHeight="1">
      <c r="A53" s="1147"/>
      <c r="B53" s="1147"/>
      <c r="C53" s="498" t="s">
        <v>2584</v>
      </c>
      <c r="D53" s="502"/>
      <c r="E53" s="500">
        <f>IF(E48&lt;G48,G48/E48-1,E48/G48-1)</f>
        <v>0.14843707794930627</v>
      </c>
      <c r="F53" s="501" t="str">
        <f>IF(OR(E53&gt;=0.2,E53&lt;=-0.2),"超过20%","")</f>
        <v/>
      </c>
      <c r="G53" s="500">
        <f>IF(G48&lt;I48,I48/G48-1,G48/I48-1)</f>
        <v>0.10249995498125952</v>
      </c>
      <c r="H53" s="501" t="str">
        <f>IF(OR(G53&gt;=0.2,G53&lt;=-0.2),"超过20%","")</f>
        <v/>
      </c>
      <c r="I53" s="500">
        <f>IF(I48&lt;E48,E48/I48-1,I48/E48-1)</f>
        <v>4.1666326388945629E-2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2551</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T4:U6"/>
    <mergeCell ref="V4:W6"/>
    <mergeCell ref="Y4:Z6"/>
    <mergeCell ref="P7:Q7"/>
    <mergeCell ref="Y7:Z7"/>
    <mergeCell ref="P8:Q8"/>
    <mergeCell ref="Y8:Z8"/>
    <mergeCell ref="AA4:AA6"/>
    <mergeCell ref="AB4:AB6"/>
    <mergeCell ref="AC4:AC6"/>
    <mergeCell ref="C4:D4"/>
    <mergeCell ref="E4:F4"/>
    <mergeCell ref="G4:H4"/>
    <mergeCell ref="I4:J4"/>
    <mergeCell ref="P4:Q6"/>
    <mergeCell ref="R4:S6"/>
    <mergeCell ref="C5:D5"/>
    <mergeCell ref="C6:D6"/>
    <mergeCell ref="E6:F6"/>
    <mergeCell ref="G6:H6"/>
    <mergeCell ref="I6:J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4203</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94325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98" t="s">
        <v>2539</v>
      </c>
      <c r="D4" s="3199"/>
      <c r="E4" s="3200" t="s">
        <v>2540</v>
      </c>
      <c r="F4" s="3201"/>
      <c r="G4" s="3198" t="s">
        <v>2541</v>
      </c>
      <c r="H4" s="3199"/>
      <c r="I4" s="3198" t="s">
        <v>2542</v>
      </c>
      <c r="J4" s="3199"/>
      <c r="K4" s="2599" t="s">
        <v>2543</v>
      </c>
      <c r="L4" s="1133"/>
      <c r="M4" s="1134"/>
      <c r="N4" s="1134"/>
      <c r="O4" s="1134"/>
      <c r="P4" s="3202" t="s">
        <v>2544</v>
      </c>
      <c r="Q4" s="3203"/>
      <c r="R4" s="3208" t="s">
        <v>2540</v>
      </c>
      <c r="S4" s="3209"/>
      <c r="T4" s="3208" t="s">
        <v>2541</v>
      </c>
      <c r="U4" s="3209"/>
      <c r="V4" s="3223" t="s">
        <v>2542</v>
      </c>
      <c r="W4" s="3223"/>
      <c r="X4" s="1816"/>
      <c r="Y4" s="3208" t="s">
        <v>2544</v>
      </c>
      <c r="Z4" s="3209"/>
      <c r="AA4" s="3195" t="s">
        <v>2540</v>
      </c>
      <c r="AB4" s="3195" t="s">
        <v>2541</v>
      </c>
      <c r="AC4" s="3195" t="s">
        <v>2542</v>
      </c>
    </row>
    <row r="5" spans="1:29" ht="15">
      <c r="A5" s="405"/>
      <c r="B5" s="406"/>
      <c r="C5" s="3212" t="s">
        <v>2545</v>
      </c>
      <c r="D5" s="3213"/>
      <c r="E5" s="2944" t="s">
        <v>3157</v>
      </c>
      <c r="F5" s="2945"/>
      <c r="G5" s="2944" t="s">
        <v>3157</v>
      </c>
      <c r="H5" s="2945"/>
      <c r="I5" s="2944" t="s">
        <v>3157</v>
      </c>
      <c r="J5" s="2945"/>
      <c r="K5" s="2600"/>
      <c r="L5" s="1133"/>
      <c r="M5" s="1134"/>
      <c r="N5" s="1134"/>
      <c r="O5" s="1134"/>
      <c r="P5" s="3204"/>
      <c r="Q5" s="3205"/>
      <c r="R5" s="3210"/>
      <c r="S5" s="3211"/>
      <c r="T5" s="3210"/>
      <c r="U5" s="3211"/>
      <c r="V5" s="3223"/>
      <c r="W5" s="3223"/>
      <c r="X5" s="1816"/>
      <c r="Y5" s="3210"/>
      <c r="Z5" s="3211"/>
      <c r="AA5" s="3196"/>
      <c r="AB5" s="3196"/>
      <c r="AC5" s="3196"/>
    </row>
    <row r="6" spans="1:29" ht="15.75" thickBot="1">
      <c r="A6" s="407"/>
      <c r="B6" s="408"/>
      <c r="C6" s="3214" t="s">
        <v>2549</v>
      </c>
      <c r="D6" s="3215"/>
      <c r="E6" s="3216" t="s">
        <v>2549</v>
      </c>
      <c r="F6" s="3217"/>
      <c r="G6" s="3218" t="s">
        <v>2549</v>
      </c>
      <c r="H6" s="3219"/>
      <c r="I6" s="3214" t="s">
        <v>2549</v>
      </c>
      <c r="J6" s="3215"/>
      <c r="K6" s="2600" t="s">
        <v>2550</v>
      </c>
      <c r="L6" s="1133"/>
      <c r="M6" s="1134"/>
      <c r="N6" s="1134"/>
      <c r="O6" s="1134"/>
      <c r="P6" s="3206"/>
      <c r="Q6" s="3207"/>
      <c r="R6" s="3210"/>
      <c r="S6" s="3211"/>
      <c r="T6" s="3221"/>
      <c r="U6" s="3222"/>
      <c r="V6" s="3223"/>
      <c r="W6" s="3223"/>
      <c r="X6" s="1816"/>
      <c r="Y6" s="3221"/>
      <c r="Z6" s="3222"/>
      <c r="AA6" s="3197"/>
      <c r="AB6" s="3197"/>
      <c r="AC6" s="3197"/>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24" t="s">
        <v>2552</v>
      </c>
      <c r="Q7" s="3225"/>
      <c r="R7" s="771" t="s">
        <v>23</v>
      </c>
      <c r="S7" s="772">
        <f t="shared" ref="S7:S15" si="0">F7</f>
        <v>96</v>
      </c>
      <c r="T7" s="771" t="s">
        <v>23</v>
      </c>
      <c r="U7" s="772">
        <f t="shared" ref="U7:U15" si="1">H7</f>
        <v>98</v>
      </c>
      <c r="V7" s="771" t="s">
        <v>23</v>
      </c>
      <c r="W7" s="772">
        <f t="shared" ref="W7:W15" si="2">J7</f>
        <v>100</v>
      </c>
      <c r="X7" s="773"/>
      <c r="Y7" s="3224" t="s">
        <v>2552</v>
      </c>
      <c r="Z7" s="3226"/>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24" t="s">
        <v>2555</v>
      </c>
      <c r="Q8" s="3226"/>
      <c r="R8" s="771" t="s">
        <v>23</v>
      </c>
      <c r="S8" s="772">
        <f t="shared" si="0"/>
        <v>100</v>
      </c>
      <c r="T8" s="771" t="s">
        <v>23</v>
      </c>
      <c r="U8" s="772">
        <f t="shared" si="1"/>
        <v>100</v>
      </c>
      <c r="V8" s="771" t="s">
        <v>23</v>
      </c>
      <c r="W8" s="772">
        <f t="shared" si="2"/>
        <v>100</v>
      </c>
      <c r="X8" s="773"/>
      <c r="Y8" s="3224" t="s">
        <v>2555</v>
      </c>
      <c r="Z8" s="3226"/>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20"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20"/>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0"/>
      <c r="Q11" s="1798" t="str">
        <f t="shared" si="6"/>
        <v>容积率</v>
      </c>
      <c r="R11" s="771" t="s">
        <v>21</v>
      </c>
      <c r="S11" s="772">
        <f t="shared" si="0"/>
        <v>100</v>
      </c>
      <c r="T11" s="771" t="s">
        <v>21</v>
      </c>
      <c r="U11" s="772">
        <f t="shared" si="1"/>
        <v>100</v>
      </c>
      <c r="V11" s="771" t="s">
        <v>21</v>
      </c>
      <c r="W11" s="772">
        <f t="shared" si="2"/>
        <v>100</v>
      </c>
      <c r="X11" s="773"/>
      <c r="Y11" s="3023"/>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0"/>
      <c r="Q12" s="1798">
        <f t="shared" si="6"/>
        <v>0</v>
      </c>
      <c r="R12" s="771" t="s">
        <v>21</v>
      </c>
      <c r="S12" s="772">
        <f t="shared" si="0"/>
        <v>100</v>
      </c>
      <c r="T12" s="771" t="s">
        <v>21</v>
      </c>
      <c r="U12" s="772">
        <f t="shared" si="1"/>
        <v>100</v>
      </c>
      <c r="V12" s="771" t="s">
        <v>21</v>
      </c>
      <c r="W12" s="772">
        <f t="shared" si="2"/>
        <v>100</v>
      </c>
      <c r="X12" s="773"/>
      <c r="Y12" s="3023"/>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0"/>
      <c r="Q13" s="1798">
        <f t="shared" si="6"/>
        <v>0</v>
      </c>
      <c r="R13" s="771" t="s">
        <v>21</v>
      </c>
      <c r="S13" s="772">
        <f t="shared" si="0"/>
        <v>100</v>
      </c>
      <c r="T13" s="771" t="s">
        <v>21</v>
      </c>
      <c r="U13" s="772">
        <f t="shared" si="1"/>
        <v>100</v>
      </c>
      <c r="V13" s="771" t="s">
        <v>21</v>
      </c>
      <c r="W13" s="772">
        <f t="shared" si="2"/>
        <v>100</v>
      </c>
      <c r="X13" s="773"/>
      <c r="Y13" s="3023"/>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0"/>
      <c r="Q14" s="1798">
        <f t="shared" si="6"/>
        <v>0</v>
      </c>
      <c r="R14" s="771" t="s">
        <v>21</v>
      </c>
      <c r="S14" s="772">
        <f t="shared" si="0"/>
        <v>100</v>
      </c>
      <c r="T14" s="771" t="s">
        <v>21</v>
      </c>
      <c r="U14" s="772">
        <f t="shared" si="1"/>
        <v>100</v>
      </c>
      <c r="V14" s="771" t="s">
        <v>21</v>
      </c>
      <c r="W14" s="772">
        <f t="shared" si="2"/>
        <v>100</v>
      </c>
      <c r="X14" s="773"/>
      <c r="Y14" s="3023"/>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27" t="s">
        <v>2563</v>
      </c>
      <c r="Q15" s="1813" t="str">
        <f t="shared" si="6"/>
        <v>居住社区成熟度</v>
      </c>
      <c r="R15" s="775" t="s">
        <v>21</v>
      </c>
      <c r="S15" s="776">
        <f t="shared" si="0"/>
        <v>100</v>
      </c>
      <c r="T15" s="775" t="s">
        <v>21</v>
      </c>
      <c r="U15" s="776">
        <f t="shared" si="1"/>
        <v>100</v>
      </c>
      <c r="V15" s="775" t="s">
        <v>21</v>
      </c>
      <c r="W15" s="776">
        <f t="shared" si="2"/>
        <v>100</v>
      </c>
      <c r="X15" s="1816"/>
      <c r="Y15" s="3229"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28"/>
      <c r="Q16" s="1813"/>
      <c r="R16" s="775"/>
      <c r="S16" s="776"/>
      <c r="T16" s="775"/>
      <c r="U16" s="776"/>
      <c r="V16" s="775"/>
      <c r="W16" s="776"/>
      <c r="X16" s="1816"/>
      <c r="Y16" s="3230"/>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28"/>
      <c r="Q17" s="1813" t="str">
        <f>B17</f>
        <v>交通便捷度</v>
      </c>
      <c r="R17" s="775" t="s">
        <v>21</v>
      </c>
      <c r="S17" s="776">
        <f>F17</f>
        <v>100</v>
      </c>
      <c r="T17" s="775" t="s">
        <v>21</v>
      </c>
      <c r="U17" s="776">
        <f>H17</f>
        <v>100</v>
      </c>
      <c r="V17" s="775" t="s">
        <v>21</v>
      </c>
      <c r="W17" s="776">
        <f>J17</f>
        <v>100</v>
      </c>
      <c r="X17" s="1816"/>
      <c r="Y17" s="3230"/>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28"/>
      <c r="Q18" s="1813"/>
      <c r="R18" s="775"/>
      <c r="S18" s="776"/>
      <c r="T18" s="775"/>
      <c r="U18" s="776"/>
      <c r="V18" s="775"/>
      <c r="W18" s="776"/>
      <c r="X18" s="1816"/>
      <c r="Y18" s="3230"/>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28"/>
      <c r="Q19" s="1813" t="str">
        <f>B19</f>
        <v>公共配套设施</v>
      </c>
      <c r="R19" s="775" t="s">
        <v>21</v>
      </c>
      <c r="S19" s="776">
        <f>F19</f>
        <v>100</v>
      </c>
      <c r="T19" s="775" t="s">
        <v>21</v>
      </c>
      <c r="U19" s="776">
        <f>H19</f>
        <v>100</v>
      </c>
      <c r="V19" s="775" t="s">
        <v>21</v>
      </c>
      <c r="W19" s="776">
        <f>J19</f>
        <v>100</v>
      </c>
      <c r="X19" s="1816"/>
      <c r="Y19" s="3230"/>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28"/>
      <c r="Q20" s="1813"/>
      <c r="R20" s="775"/>
      <c r="S20" s="776"/>
      <c r="T20" s="775"/>
      <c r="U20" s="776"/>
      <c r="V20" s="775"/>
      <c r="W20" s="776"/>
      <c r="X20" s="1816"/>
      <c r="Y20" s="3230"/>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28"/>
      <c r="Q21" s="1813" t="str">
        <f>B21</f>
        <v>基础设施水平</v>
      </c>
      <c r="R21" s="775" t="s">
        <v>17</v>
      </c>
      <c r="S21" s="776">
        <f>F21</f>
        <v>100</v>
      </c>
      <c r="T21" s="775" t="s">
        <v>17</v>
      </c>
      <c r="U21" s="776">
        <f>H21</f>
        <v>100</v>
      </c>
      <c r="V21" s="775" t="s">
        <v>17</v>
      </c>
      <c r="W21" s="776">
        <f>J21</f>
        <v>100</v>
      </c>
      <c r="X21" s="1816"/>
      <c r="Y21" s="3230"/>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28"/>
      <c r="Q22" s="1813"/>
      <c r="R22" s="775"/>
      <c r="S22" s="776"/>
      <c r="T22" s="775"/>
      <c r="U22" s="776"/>
      <c r="V22" s="775"/>
      <c r="W22" s="776"/>
      <c r="X22" s="1816"/>
      <c r="Y22" s="3230"/>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28"/>
      <c r="Q23" s="1813" t="str">
        <f>B23</f>
        <v>自然及人文环境</v>
      </c>
      <c r="R23" s="775" t="s">
        <v>21</v>
      </c>
      <c r="S23" s="776">
        <f>F23</f>
        <v>100</v>
      </c>
      <c r="T23" s="775" t="s">
        <v>21</v>
      </c>
      <c r="U23" s="776">
        <f>H23</f>
        <v>100</v>
      </c>
      <c r="V23" s="775" t="s">
        <v>21</v>
      </c>
      <c r="W23" s="776">
        <f>J23</f>
        <v>100</v>
      </c>
      <c r="X23" s="1816"/>
      <c r="Y23" s="3230"/>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28"/>
      <c r="Q24" s="1813"/>
      <c r="R24" s="775"/>
      <c r="S24" s="776"/>
      <c r="T24" s="775"/>
      <c r="U24" s="776"/>
      <c r="V24" s="775"/>
      <c r="W24" s="776"/>
      <c r="X24" s="1816"/>
      <c r="Y24" s="3230"/>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28"/>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30"/>
      <c r="Z25" s="1817" t="str">
        <f>Q25</f>
        <v>楼层-1</v>
      </c>
      <c r="AA25" s="1814">
        <f t="shared" ref="AA25:AA46" si="15">D25/F25</f>
        <v>1</v>
      </c>
      <c r="AB25" s="1814">
        <f t="shared" ref="AB25:AB46" si="16">D25/H25</f>
        <v>1</v>
      </c>
      <c r="AC25" s="1814">
        <f t="shared" ref="AC25:AC46" si="17">D25/J25</f>
        <v>1</v>
      </c>
    </row>
    <row r="26" spans="1:29" ht="15">
      <c r="A26" s="429"/>
      <c r="B26" s="423" t="s">
        <v>2565</v>
      </c>
      <c r="C26" s="2949" t="s">
        <v>3168</v>
      </c>
      <c r="D26" s="436">
        <v>100</v>
      </c>
      <c r="E26" s="2949" t="s">
        <v>3168</v>
      </c>
      <c r="F26" s="436">
        <f>SUMIF(88:88,E26,89:89)-SUMIF(88:88,C26,89:89)+100</f>
        <v>100</v>
      </c>
      <c r="G26" s="2949" t="s">
        <v>3168</v>
      </c>
      <c r="H26" s="436">
        <f>SUMIF(88:88,G26,89:89)-SUMIF(88:88,C26,89:89)+100</f>
        <v>100</v>
      </c>
      <c r="I26" s="2949" t="s">
        <v>3168</v>
      </c>
      <c r="J26" s="436">
        <f>SUMIF(88:88,I26,89:89)-SUMIF(88:88,C26,89:89)+100</f>
        <v>100</v>
      </c>
      <c r="K26" s="427">
        <v>2</v>
      </c>
      <c r="L26" s="1143"/>
      <c r="M26" s="1134"/>
      <c r="N26" s="1134"/>
      <c r="O26" s="1134"/>
      <c r="P26" s="3228"/>
      <c r="Q26" s="1813" t="str">
        <f t="shared" si="11"/>
        <v>朝向</v>
      </c>
      <c r="R26" s="775" t="s">
        <v>21</v>
      </c>
      <c r="S26" s="776">
        <f t="shared" si="12"/>
        <v>100</v>
      </c>
      <c r="T26" s="775" t="s">
        <v>21</v>
      </c>
      <c r="U26" s="776">
        <f t="shared" si="13"/>
        <v>100</v>
      </c>
      <c r="V26" s="775" t="s">
        <v>21</v>
      </c>
      <c r="W26" s="776">
        <f t="shared" si="14"/>
        <v>100</v>
      </c>
      <c r="X26" s="1816"/>
      <c r="Y26" s="3230"/>
      <c r="Z26" s="1817" t="str">
        <f>Q26</f>
        <v>朝向</v>
      </c>
      <c r="AA26" s="1814">
        <f t="shared" si="15"/>
        <v>1</v>
      </c>
      <c r="AB26" s="1814">
        <f t="shared" si="16"/>
        <v>1</v>
      </c>
      <c r="AC26" s="1814">
        <f t="shared" si="17"/>
        <v>1</v>
      </c>
    </row>
    <row r="27" spans="1:29" s="117" customFormat="1" ht="15">
      <c r="A27" s="432"/>
      <c r="B27" s="2946" t="s">
        <v>3164</v>
      </c>
      <c r="C27" s="2947" t="s">
        <v>3165</v>
      </c>
      <c r="D27" s="463">
        <v>100</v>
      </c>
      <c r="E27" s="2948" t="s">
        <v>3166</v>
      </c>
      <c r="F27" s="463">
        <f>SUMIF(90:90,E27,91:91)-SUMIF(90:90,C27,91:91)+100</f>
        <v>105</v>
      </c>
      <c r="G27" s="2948" t="s">
        <v>3166</v>
      </c>
      <c r="H27" s="463">
        <f>SUMIF(90:90,G27,91:91)-SUMIF(90:90,C27,91:91)+100</f>
        <v>105</v>
      </c>
      <c r="I27" s="2948" t="s">
        <v>3166</v>
      </c>
      <c r="J27" s="463">
        <f>SUMIF(90:90,I27,91:91)-SUMIF(90:90,C27,91:91)+100</f>
        <v>105</v>
      </c>
      <c r="K27" s="2603"/>
      <c r="L27" s="1135"/>
      <c r="M27" s="1136"/>
      <c r="N27" s="1136"/>
      <c r="O27" s="1136"/>
      <c r="P27" s="3228"/>
      <c r="Q27" s="1798" t="str">
        <f t="shared" si="11"/>
        <v>楼层</v>
      </c>
      <c r="R27" s="771" t="s">
        <v>21</v>
      </c>
      <c r="S27" s="772">
        <f t="shared" si="12"/>
        <v>105</v>
      </c>
      <c r="T27" s="771" t="s">
        <v>21</v>
      </c>
      <c r="U27" s="772">
        <f t="shared" si="13"/>
        <v>105</v>
      </c>
      <c r="V27" s="771" t="s">
        <v>21</v>
      </c>
      <c r="W27" s="772">
        <f t="shared" si="14"/>
        <v>105</v>
      </c>
      <c r="X27" s="773"/>
      <c r="Y27" s="3230"/>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28"/>
      <c r="Q28" s="1813">
        <f t="shared" si="11"/>
        <v>111</v>
      </c>
      <c r="R28" s="775" t="s">
        <v>21</v>
      </c>
      <c r="S28" s="776">
        <f t="shared" si="12"/>
        <v>100</v>
      </c>
      <c r="T28" s="775" t="s">
        <v>21</v>
      </c>
      <c r="U28" s="776">
        <f t="shared" si="13"/>
        <v>100</v>
      </c>
      <c r="V28" s="775" t="s">
        <v>21</v>
      </c>
      <c r="W28" s="776">
        <f t="shared" si="14"/>
        <v>100</v>
      </c>
      <c r="X28" s="1816"/>
      <c r="Y28" s="3230"/>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28"/>
      <c r="Q29" s="1813">
        <f t="shared" si="11"/>
        <v>111</v>
      </c>
      <c r="R29" s="775" t="s">
        <v>21</v>
      </c>
      <c r="S29" s="776">
        <f t="shared" si="12"/>
        <v>100</v>
      </c>
      <c r="T29" s="775" t="s">
        <v>21</v>
      </c>
      <c r="U29" s="776">
        <f t="shared" si="13"/>
        <v>100</v>
      </c>
      <c r="V29" s="775" t="s">
        <v>21</v>
      </c>
      <c r="W29" s="776">
        <f t="shared" si="14"/>
        <v>100</v>
      </c>
      <c r="X29" s="1816"/>
      <c r="Y29" s="3230"/>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28"/>
      <c r="Q30" s="1813">
        <f t="shared" si="11"/>
        <v>111</v>
      </c>
      <c r="R30" s="775" t="s">
        <v>21</v>
      </c>
      <c r="S30" s="776">
        <f t="shared" si="12"/>
        <v>100</v>
      </c>
      <c r="T30" s="775" t="s">
        <v>21</v>
      </c>
      <c r="U30" s="776">
        <f t="shared" si="13"/>
        <v>100</v>
      </c>
      <c r="V30" s="775" t="s">
        <v>21</v>
      </c>
      <c r="W30" s="776">
        <f t="shared" si="14"/>
        <v>100</v>
      </c>
      <c r="X30" s="1816"/>
      <c r="Y30" s="3230"/>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28"/>
      <c r="Q31" s="1813">
        <f t="shared" si="11"/>
        <v>111</v>
      </c>
      <c r="R31" s="775" t="s">
        <v>21</v>
      </c>
      <c r="S31" s="776">
        <f t="shared" si="12"/>
        <v>100</v>
      </c>
      <c r="T31" s="775" t="s">
        <v>21</v>
      </c>
      <c r="U31" s="776">
        <f t="shared" si="13"/>
        <v>100</v>
      </c>
      <c r="V31" s="775" t="s">
        <v>21</v>
      </c>
      <c r="W31" s="776">
        <f t="shared" si="14"/>
        <v>100</v>
      </c>
      <c r="X31" s="1816"/>
      <c r="Y31" s="3230"/>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31" t="s">
        <v>2568</v>
      </c>
      <c r="Q32" s="1813" t="str">
        <f t="shared" si="11"/>
        <v>建筑类型</v>
      </c>
      <c r="R32" s="775" t="s">
        <v>21</v>
      </c>
      <c r="S32" s="776">
        <f t="shared" si="12"/>
        <v>100</v>
      </c>
      <c r="T32" s="775" t="s">
        <v>21</v>
      </c>
      <c r="U32" s="776">
        <f t="shared" si="13"/>
        <v>100</v>
      </c>
      <c r="V32" s="775" t="s">
        <v>21</v>
      </c>
      <c r="W32" s="776">
        <f t="shared" si="14"/>
        <v>100</v>
      </c>
      <c r="X32" s="1816"/>
      <c r="Y32" s="3234"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32"/>
      <c r="Q33" s="777" t="str">
        <f t="shared" si="11"/>
        <v>项目建筑规模</v>
      </c>
      <c r="R33" s="778" t="s">
        <v>21</v>
      </c>
      <c r="S33" s="779">
        <f t="shared" si="12"/>
        <v>100</v>
      </c>
      <c r="T33" s="778" t="s">
        <v>21</v>
      </c>
      <c r="U33" s="779">
        <f t="shared" si="13"/>
        <v>100</v>
      </c>
      <c r="V33" s="778" t="s">
        <v>21</v>
      </c>
      <c r="W33" s="779">
        <f t="shared" si="14"/>
        <v>100</v>
      </c>
      <c r="X33" s="780"/>
      <c r="Y33" s="3234"/>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32"/>
      <c r="Q34" s="1813" t="str">
        <f t="shared" si="11"/>
        <v>建筑结构</v>
      </c>
      <c r="R34" s="775" t="s">
        <v>21</v>
      </c>
      <c r="S34" s="776">
        <f t="shared" si="12"/>
        <v>100</v>
      </c>
      <c r="T34" s="775" t="s">
        <v>21</v>
      </c>
      <c r="U34" s="776">
        <f t="shared" si="13"/>
        <v>100</v>
      </c>
      <c r="V34" s="775" t="s">
        <v>21</v>
      </c>
      <c r="W34" s="776">
        <f t="shared" si="14"/>
        <v>100</v>
      </c>
      <c r="X34" s="1816"/>
      <c r="Y34" s="3234"/>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32"/>
      <c r="Q35" s="1813" t="str">
        <f t="shared" si="11"/>
        <v>建筑品质</v>
      </c>
      <c r="R35" s="775" t="s">
        <v>21</v>
      </c>
      <c r="S35" s="776">
        <f t="shared" si="12"/>
        <v>100</v>
      </c>
      <c r="T35" s="775" t="s">
        <v>21</v>
      </c>
      <c r="U35" s="776">
        <f t="shared" si="13"/>
        <v>100</v>
      </c>
      <c r="V35" s="775" t="s">
        <v>21</v>
      </c>
      <c r="W35" s="776">
        <f t="shared" si="14"/>
        <v>100</v>
      </c>
      <c r="X35" s="1816"/>
      <c r="Y35" s="3234"/>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32"/>
      <c r="Q36" s="1813" t="str">
        <f t="shared" si="11"/>
        <v>公共部分装修</v>
      </c>
      <c r="R36" s="775" t="s">
        <v>21</v>
      </c>
      <c r="S36" s="776">
        <f t="shared" si="12"/>
        <v>100</v>
      </c>
      <c r="T36" s="775" t="s">
        <v>21</v>
      </c>
      <c r="U36" s="776">
        <f t="shared" si="13"/>
        <v>100</v>
      </c>
      <c r="V36" s="775" t="s">
        <v>21</v>
      </c>
      <c r="W36" s="776">
        <f t="shared" si="14"/>
        <v>100</v>
      </c>
      <c r="X36" s="1816"/>
      <c r="Y36" s="3234"/>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32"/>
      <c r="Q37" s="1798" t="str">
        <f t="shared" si="11"/>
        <v>成新度</v>
      </c>
      <c r="R37" s="771" t="s">
        <v>21</v>
      </c>
      <c r="S37" s="772">
        <f t="shared" si="12"/>
        <v>100</v>
      </c>
      <c r="T37" s="771" t="s">
        <v>21</v>
      </c>
      <c r="U37" s="772">
        <f t="shared" si="13"/>
        <v>100</v>
      </c>
      <c r="V37" s="771" t="s">
        <v>21</v>
      </c>
      <c r="W37" s="772">
        <f t="shared" si="14"/>
        <v>100</v>
      </c>
      <c r="X37" s="773"/>
      <c r="Y37" s="3234"/>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32" t="s">
        <v>2568</v>
      </c>
      <c r="Q38" s="1813" t="str">
        <f t="shared" si="11"/>
        <v>物业管理</v>
      </c>
      <c r="R38" s="775" t="s">
        <v>21</v>
      </c>
      <c r="S38" s="776">
        <f t="shared" si="12"/>
        <v>100</v>
      </c>
      <c r="T38" s="775" t="s">
        <v>21</v>
      </c>
      <c r="U38" s="776">
        <f t="shared" si="13"/>
        <v>100</v>
      </c>
      <c r="V38" s="775" t="s">
        <v>21</v>
      </c>
      <c r="W38" s="776">
        <f t="shared" si="14"/>
        <v>100</v>
      </c>
      <c r="X38" s="1816"/>
      <c r="Y38" s="3234"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32"/>
      <c r="Q39" s="1813" t="str">
        <f t="shared" si="11"/>
        <v>市政基础设施</v>
      </c>
      <c r="R39" s="775" t="s">
        <v>21</v>
      </c>
      <c r="S39" s="776">
        <f t="shared" si="12"/>
        <v>100</v>
      </c>
      <c r="T39" s="775" t="s">
        <v>21</v>
      </c>
      <c r="U39" s="776">
        <f t="shared" si="13"/>
        <v>100</v>
      </c>
      <c r="V39" s="775" t="s">
        <v>21</v>
      </c>
      <c r="W39" s="776">
        <f t="shared" si="14"/>
        <v>100</v>
      </c>
      <c r="X39" s="1816"/>
      <c r="Y39" s="3234"/>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10</v>
      </c>
      <c r="L40" s="1143"/>
      <c r="M40" s="1134"/>
      <c r="N40" s="1134"/>
      <c r="O40" s="1134"/>
      <c r="P40" s="3232"/>
      <c r="Q40" s="1813" t="str">
        <f t="shared" si="11"/>
        <v>房型</v>
      </c>
      <c r="R40" s="775" t="s">
        <v>21</v>
      </c>
      <c r="S40" s="776">
        <f t="shared" si="12"/>
        <v>100</v>
      </c>
      <c r="T40" s="775" t="s">
        <v>21</v>
      </c>
      <c r="U40" s="776">
        <f t="shared" si="13"/>
        <v>100</v>
      </c>
      <c r="V40" s="775" t="s">
        <v>21</v>
      </c>
      <c r="W40" s="776">
        <f t="shared" si="14"/>
        <v>100</v>
      </c>
      <c r="X40" s="1816"/>
      <c r="Y40" s="3234"/>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32"/>
      <c r="Q41" s="777" t="str">
        <f t="shared" si="11"/>
        <v>单套/主力户型建筑面积</v>
      </c>
      <c r="R41" s="778" t="s">
        <v>21</v>
      </c>
      <c r="S41" s="779">
        <f t="shared" si="12"/>
        <v>100</v>
      </c>
      <c r="T41" s="778" t="s">
        <v>21</v>
      </c>
      <c r="U41" s="779">
        <f t="shared" si="13"/>
        <v>100</v>
      </c>
      <c r="V41" s="778" t="s">
        <v>21</v>
      </c>
      <c r="W41" s="779">
        <f t="shared" si="14"/>
        <v>100</v>
      </c>
      <c r="X41" s="780"/>
      <c r="Y41" s="3234"/>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32"/>
      <c r="Q42" s="1813" t="str">
        <f t="shared" si="11"/>
        <v>内部装修</v>
      </c>
      <c r="R42" s="775" t="s">
        <v>21</v>
      </c>
      <c r="S42" s="776">
        <f t="shared" si="12"/>
        <v>100</v>
      </c>
      <c r="T42" s="775" t="s">
        <v>21</v>
      </c>
      <c r="U42" s="776">
        <f t="shared" si="13"/>
        <v>100</v>
      </c>
      <c r="V42" s="775" t="s">
        <v>21</v>
      </c>
      <c r="W42" s="776">
        <f t="shared" si="14"/>
        <v>100</v>
      </c>
      <c r="X42" s="1816"/>
      <c r="Y42" s="3234"/>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32"/>
      <c r="Q43" s="1813" t="str">
        <f t="shared" si="11"/>
        <v>内部装修维护情况</v>
      </c>
      <c r="R43" s="775" t="s">
        <v>21</v>
      </c>
      <c r="S43" s="776">
        <f t="shared" si="12"/>
        <v>100</v>
      </c>
      <c r="T43" s="775" t="s">
        <v>21</v>
      </c>
      <c r="U43" s="776">
        <f t="shared" si="13"/>
        <v>100</v>
      </c>
      <c r="V43" s="775" t="s">
        <v>21</v>
      </c>
      <c r="W43" s="776">
        <f t="shared" si="14"/>
        <v>100</v>
      </c>
      <c r="X43" s="1816"/>
      <c r="Y43" s="3234"/>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32"/>
      <c r="Q44" s="1798">
        <f t="shared" si="11"/>
        <v>111</v>
      </c>
      <c r="R44" s="771" t="s">
        <v>21</v>
      </c>
      <c r="S44" s="772">
        <f t="shared" si="12"/>
        <v>100</v>
      </c>
      <c r="T44" s="771" t="s">
        <v>21</v>
      </c>
      <c r="U44" s="772">
        <f t="shared" si="13"/>
        <v>100</v>
      </c>
      <c r="V44" s="771" t="s">
        <v>21</v>
      </c>
      <c r="W44" s="772">
        <f t="shared" si="14"/>
        <v>100</v>
      </c>
      <c r="X44" s="773"/>
      <c r="Y44" s="3234"/>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32"/>
      <c r="Q45" s="1813">
        <f t="shared" si="11"/>
        <v>111</v>
      </c>
      <c r="R45" s="775" t="s">
        <v>21</v>
      </c>
      <c r="S45" s="776">
        <f t="shared" si="12"/>
        <v>100</v>
      </c>
      <c r="T45" s="775" t="s">
        <v>21</v>
      </c>
      <c r="U45" s="776">
        <f t="shared" si="13"/>
        <v>100</v>
      </c>
      <c r="V45" s="775" t="s">
        <v>21</v>
      </c>
      <c r="W45" s="776">
        <f t="shared" si="14"/>
        <v>100</v>
      </c>
      <c r="X45" s="1816"/>
      <c r="Y45" s="3234"/>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33"/>
      <c r="Q46" s="1813">
        <f t="shared" si="11"/>
        <v>111</v>
      </c>
      <c r="R46" s="775" t="s">
        <v>20</v>
      </c>
      <c r="S46" s="776">
        <f t="shared" si="12"/>
        <v>100</v>
      </c>
      <c r="T46" s="775" t="s">
        <v>20</v>
      </c>
      <c r="U46" s="776">
        <f t="shared" si="13"/>
        <v>100</v>
      </c>
      <c r="V46" s="775" t="s">
        <v>20</v>
      </c>
      <c r="W46" s="776">
        <f t="shared" si="14"/>
        <v>100</v>
      </c>
      <c r="X46" s="1816"/>
      <c r="Y46" s="3235"/>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236" t="str">
        <f>A47</f>
        <v>成交单价（元/平方米）</v>
      </c>
      <c r="Q47" s="3236"/>
      <c r="R47" s="3237">
        <f>E47</f>
        <v>96761</v>
      </c>
      <c r="S47" s="3237"/>
      <c r="T47" s="3237">
        <f>G47</f>
        <v>97344</v>
      </c>
      <c r="U47" s="3237"/>
      <c r="V47" s="3237">
        <f>I47</f>
        <v>97000</v>
      </c>
      <c r="W47" s="3237"/>
      <c r="X47" s="760"/>
      <c r="Y47" s="782"/>
      <c r="Z47" s="760"/>
      <c r="AA47" s="760"/>
      <c r="AB47" s="760"/>
      <c r="AC47" s="760"/>
    </row>
    <row r="48" spans="1:29" ht="15.75" thickBot="1">
      <c r="A48" s="487" t="s">
        <v>2581</v>
      </c>
      <c r="B48" s="488"/>
      <c r="C48" s="1416">
        <f>R49</f>
        <v>94325</v>
      </c>
      <c r="D48" s="1417"/>
      <c r="E48" s="1418">
        <f>R48</f>
        <v>95993</v>
      </c>
      <c r="F48" s="1418"/>
      <c r="G48" s="1416">
        <f>T48</f>
        <v>94601</v>
      </c>
      <c r="H48" s="1417"/>
      <c r="I48" s="1418">
        <f>V48</f>
        <v>92381</v>
      </c>
      <c r="J48" s="1417"/>
      <c r="K48" s="2623"/>
      <c r="L48" s="1146"/>
      <c r="M48" s="1147"/>
      <c r="N48" s="1147"/>
      <c r="O48" s="1147"/>
      <c r="P48" s="3236" t="str">
        <f>A48</f>
        <v>比较价值（元/平方米）</v>
      </c>
      <c r="Q48" s="3236"/>
      <c r="R48" s="3237">
        <f>IF(F1="售价",ROUND(PRODUCT(R47,AA7:AA46),0),ROUND(PRODUCT(R47,AA7:AA46),1))</f>
        <v>95993</v>
      </c>
      <c r="S48" s="3237"/>
      <c r="T48" s="3237">
        <f>IF(F1="售价",ROUND(PRODUCT(T47,AB7:AB46),0),ROUND(PRODUCT(T47,AB7:AB46),1))</f>
        <v>94601</v>
      </c>
      <c r="U48" s="3237"/>
      <c r="V48" s="3237">
        <f>IF(F1="售价",ROUND(PRODUCT(V47,AC7:AC46),0),ROUND(PRODUCT(V47,AC7:AC46),1))</f>
        <v>92381</v>
      </c>
      <c r="W48" s="3237"/>
      <c r="X48" s="760"/>
      <c r="Y48" s="760"/>
      <c r="Z48" s="760"/>
      <c r="AA48" s="760"/>
      <c r="AB48" s="760"/>
      <c r="AC48" s="760"/>
    </row>
    <row r="49" spans="1:29" ht="15.75" thickBot="1">
      <c r="A49" s="493" t="s">
        <v>2582</v>
      </c>
      <c r="B49" s="494"/>
      <c r="C49" s="1419">
        <f>R49</f>
        <v>94325</v>
      </c>
      <c r="D49" s="1420"/>
      <c r="E49" s="1420"/>
      <c r="F49" s="1420"/>
      <c r="G49" s="1420"/>
      <c r="H49" s="1420"/>
      <c r="I49" s="1420"/>
      <c r="J49" s="1420"/>
      <c r="K49" s="2624"/>
      <c r="L49" s="1146"/>
      <c r="M49" s="1147"/>
      <c r="N49" s="1147"/>
      <c r="O49" s="1147"/>
      <c r="P49" s="3238" t="str">
        <f>A49</f>
        <v>估价对象XX用房的比较价值（楼面单价，元/平方米）</v>
      </c>
      <c r="Q49" s="3239"/>
      <c r="R49" s="3240">
        <f>IF(F1="售价",ROUND(AVERAGE(R48:V48),0),ROUND(AVERAGE(R48:V48),1))</f>
        <v>94325</v>
      </c>
      <c r="S49" s="3240"/>
      <c r="T49" s="3240"/>
      <c r="U49" s="3240"/>
      <c r="V49" s="3240"/>
      <c r="W49" s="3240"/>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8.0005833758711731E-3</v>
      </c>
      <c r="F52" s="501" t="str">
        <f>IF(OR(E52&gt;=0.3,E52&lt;=-0.3),"超过30%","")</f>
        <v/>
      </c>
      <c r="G52" s="500">
        <f>IF(G47&lt;G48,G48/G47-1,G47/G48-1)</f>
        <v>2.8995465164215917E-2</v>
      </c>
      <c r="H52" s="501" t="str">
        <f>IF(OR(G52&gt;=0.3,G52&lt;=-0.3),"超过30%","")</f>
        <v/>
      </c>
      <c r="I52" s="500">
        <f>IF(I47&lt;I48,I48/I47-1,I47/I48-1)</f>
        <v>4.9999458763165583E-2</v>
      </c>
      <c r="J52" s="501" t="str">
        <f>IF(OR(I52&gt;=0.3,I52&lt;=-0.3),"超过30%","")</f>
        <v/>
      </c>
      <c r="K52" s="1109"/>
      <c r="L52" s="1110"/>
      <c r="M52" s="1147"/>
      <c r="N52" s="1147"/>
      <c r="O52" s="1147"/>
    </row>
    <row r="53" spans="1:29" ht="13.5" customHeight="1">
      <c r="A53" s="1147"/>
      <c r="B53" s="1147"/>
      <c r="C53" s="498" t="s">
        <v>2584</v>
      </c>
      <c r="D53" s="502"/>
      <c r="E53" s="500">
        <f>IF(E48&lt;G48,G48/E48-1,E48/G48-1)</f>
        <v>1.4714432194162796E-2</v>
      </c>
      <c r="F53" s="501" t="str">
        <f>IF(OR(E53&gt;=0.2,E53&lt;=-0.2),"超过20%","")</f>
        <v/>
      </c>
      <c r="G53" s="500">
        <f>IF(G48&lt;I48,I48/G48-1,G48/I48-1)</f>
        <v>2.4030915447981638E-2</v>
      </c>
      <c r="H53" s="501" t="str">
        <f>IF(OR(G53&gt;=0.2,G53&lt;=-0.2),"超过20%","")</f>
        <v/>
      </c>
      <c r="I53" s="500">
        <f>IF(I48&lt;E48,E48/I48-1,I48/E48-1)</f>
        <v>3.9098948918067533E-2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I4:J4"/>
    <mergeCell ref="I6:J6"/>
    <mergeCell ref="C5:D5"/>
    <mergeCell ref="C6:D6"/>
    <mergeCell ref="E6:F6"/>
    <mergeCell ref="G6:H6"/>
    <mergeCell ref="C4:D4"/>
    <mergeCell ref="E4:F4"/>
    <mergeCell ref="G4:H4"/>
    <mergeCell ref="AA4:AA6"/>
    <mergeCell ref="AB4:AB6"/>
    <mergeCell ref="P9:P14"/>
    <mergeCell ref="Y9:Y14"/>
    <mergeCell ref="AC4:AC6"/>
    <mergeCell ref="P4:Q6"/>
    <mergeCell ref="T4:U6"/>
    <mergeCell ref="V4:W6"/>
    <mergeCell ref="P8:Q8"/>
    <mergeCell ref="Y8:Z8"/>
    <mergeCell ref="Y4:Z6"/>
    <mergeCell ref="P7:Q7"/>
    <mergeCell ref="Y7:Z7"/>
    <mergeCell ref="R4:S6"/>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223" t="s">
        <v>2651</v>
      </c>
      <c r="AC4" s="3195" t="s">
        <v>2652</v>
      </c>
    </row>
    <row r="5" spans="1:29"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223"/>
      <c r="AC5" s="3196"/>
    </row>
    <row r="6" spans="1:29" ht="15.75" thickBot="1">
      <c r="A6" s="407"/>
      <c r="B6" s="408"/>
      <c r="C6" s="3214" t="s">
        <v>2549</v>
      </c>
      <c r="D6" s="3215"/>
      <c r="E6" s="3216" t="s">
        <v>2549</v>
      </c>
      <c r="F6" s="3217"/>
      <c r="G6" s="3214" t="s">
        <v>2549</v>
      </c>
      <c r="H6" s="3215"/>
      <c r="I6" s="3214" t="s">
        <v>2549</v>
      </c>
      <c r="J6" s="3215"/>
      <c r="K6" s="611" t="s">
        <v>2550</v>
      </c>
      <c r="L6" s="1133"/>
      <c r="M6" s="1134"/>
      <c r="N6" s="1134"/>
      <c r="O6" s="1134"/>
      <c r="P6" s="3206"/>
      <c r="Q6" s="3207"/>
      <c r="R6" s="3210"/>
      <c r="S6" s="3211"/>
      <c r="T6" s="3221"/>
      <c r="U6" s="3222"/>
      <c r="V6" s="3223"/>
      <c r="W6" s="3223"/>
      <c r="X6" s="1816"/>
      <c r="Y6" s="3221"/>
      <c r="Z6" s="3222"/>
      <c r="AA6" s="3197"/>
      <c r="AB6" s="3223"/>
      <c r="AC6" s="3197"/>
    </row>
    <row r="7" spans="1:29" s="117" customFormat="1" ht="15.75" thickBot="1">
      <c r="A7" s="409" t="s">
        <v>2551</v>
      </c>
      <c r="B7" s="410"/>
      <c r="C7" s="411">
        <f>'数据-取费表'!B2</f>
        <v>43017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24" t="s">
        <v>2552</v>
      </c>
      <c r="Q7" s="3225"/>
      <c r="R7" s="771" t="s">
        <v>17</v>
      </c>
      <c r="S7" s="772">
        <f t="shared" ref="S7:S15" si="0">F7</f>
        <v>0</v>
      </c>
      <c r="T7" s="771" t="s">
        <v>17</v>
      </c>
      <c r="U7" s="772">
        <f t="shared" ref="U7:U15" si="1">H7</f>
        <v>0</v>
      </c>
      <c r="V7" s="771" t="s">
        <v>17</v>
      </c>
      <c r="W7" s="772">
        <f t="shared" ref="W7:W15" si="2">J7</f>
        <v>0</v>
      </c>
      <c r="X7" s="773"/>
      <c r="Y7" s="3224" t="s">
        <v>2552</v>
      </c>
      <c r="Z7" s="3226"/>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20"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20"/>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20"/>
      <c r="Q11" s="1798" t="str">
        <f t="shared" si="6"/>
        <v>容积率</v>
      </c>
      <c r="R11" s="771" t="s">
        <v>17</v>
      </c>
      <c r="S11" s="772" t="e">
        <f t="shared" si="0"/>
        <v>#N/A</v>
      </c>
      <c r="T11" s="771" t="s">
        <v>17</v>
      </c>
      <c r="U11" s="772" t="e">
        <f t="shared" si="1"/>
        <v>#N/A</v>
      </c>
      <c r="V11" s="771" t="s">
        <v>17</v>
      </c>
      <c r="W11" s="772" t="e">
        <f t="shared" si="2"/>
        <v>#N/A</v>
      </c>
      <c r="X11" s="773"/>
      <c r="Y11" s="302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20"/>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20"/>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20"/>
      <c r="Q14" s="1798">
        <f t="shared" si="6"/>
        <v>111</v>
      </c>
      <c r="R14" s="771" t="s">
        <v>17</v>
      </c>
      <c r="S14" s="772">
        <f t="shared" si="0"/>
        <v>100</v>
      </c>
      <c r="T14" s="771" t="s">
        <v>17</v>
      </c>
      <c r="U14" s="772">
        <f t="shared" si="1"/>
        <v>100</v>
      </c>
      <c r="V14" s="771" t="s">
        <v>17</v>
      </c>
      <c r="W14" s="772">
        <f t="shared" si="2"/>
        <v>100</v>
      </c>
      <c r="X14" s="773"/>
      <c r="Y14" s="3023"/>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27" t="s">
        <v>2563</v>
      </c>
      <c r="Q15" s="1813" t="str">
        <f t="shared" si="6"/>
        <v>商业繁华度</v>
      </c>
      <c r="R15" s="775" t="s">
        <v>17</v>
      </c>
      <c r="S15" s="776">
        <f t="shared" si="0"/>
        <v>100</v>
      </c>
      <c r="T15" s="775" t="s">
        <v>17</v>
      </c>
      <c r="U15" s="776">
        <f t="shared" si="1"/>
        <v>100</v>
      </c>
      <c r="V15" s="775" t="s">
        <v>17</v>
      </c>
      <c r="W15" s="776">
        <f t="shared" si="2"/>
        <v>100</v>
      </c>
      <c r="X15" s="1816"/>
      <c r="Y15" s="3229"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28"/>
      <c r="Q16" s="1813"/>
      <c r="R16" s="775"/>
      <c r="S16" s="776"/>
      <c r="T16" s="775"/>
      <c r="U16" s="776"/>
      <c r="V16" s="775"/>
      <c r="W16" s="776"/>
      <c r="X16" s="1816"/>
      <c r="Y16" s="3230"/>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28"/>
      <c r="Q17" s="1813" t="str">
        <f>B17</f>
        <v>交通便捷度</v>
      </c>
      <c r="R17" s="775" t="s">
        <v>17</v>
      </c>
      <c r="S17" s="776">
        <f>F17</f>
        <v>100</v>
      </c>
      <c r="T17" s="775" t="s">
        <v>17</v>
      </c>
      <c r="U17" s="776">
        <f>H17</f>
        <v>100</v>
      </c>
      <c r="V17" s="775" t="s">
        <v>17</v>
      </c>
      <c r="W17" s="776">
        <f>J17</f>
        <v>100</v>
      </c>
      <c r="X17" s="1816"/>
      <c r="Y17" s="3230"/>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28"/>
      <c r="Q18" s="1813"/>
      <c r="R18" s="775"/>
      <c r="S18" s="776"/>
      <c r="T18" s="775"/>
      <c r="U18" s="776"/>
      <c r="V18" s="775"/>
      <c r="W18" s="776"/>
      <c r="X18" s="1816"/>
      <c r="Y18" s="3230"/>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28"/>
      <c r="Q19" s="1813" t="str">
        <f>B19</f>
        <v>公共配套设施</v>
      </c>
      <c r="R19" s="775" t="s">
        <v>17</v>
      </c>
      <c r="S19" s="776">
        <f>F19</f>
        <v>100</v>
      </c>
      <c r="T19" s="775" t="s">
        <v>17</v>
      </c>
      <c r="U19" s="776">
        <f>H19</f>
        <v>100</v>
      </c>
      <c r="V19" s="775" t="s">
        <v>17</v>
      </c>
      <c r="W19" s="776">
        <f>J19</f>
        <v>100</v>
      </c>
      <c r="X19" s="1816"/>
      <c r="Y19" s="3230"/>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28"/>
      <c r="Q20" s="1813"/>
      <c r="R20" s="775"/>
      <c r="S20" s="776"/>
      <c r="T20" s="775"/>
      <c r="U20" s="776"/>
      <c r="V20" s="775"/>
      <c r="W20" s="776"/>
      <c r="X20" s="1816"/>
      <c r="Y20" s="3230"/>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28"/>
      <c r="Q21" s="1813" t="str">
        <f>B21</f>
        <v>基础设施水平</v>
      </c>
      <c r="R21" s="775" t="s">
        <v>17</v>
      </c>
      <c r="S21" s="776">
        <f>F21</f>
        <v>100</v>
      </c>
      <c r="T21" s="775" t="s">
        <v>17</v>
      </c>
      <c r="U21" s="776">
        <f>H21</f>
        <v>100</v>
      </c>
      <c r="V21" s="775" t="s">
        <v>17</v>
      </c>
      <c r="W21" s="776">
        <f>J21</f>
        <v>100</v>
      </c>
      <c r="X21" s="1816"/>
      <c r="Y21" s="3230"/>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28"/>
      <c r="Q22" s="1813"/>
      <c r="R22" s="775"/>
      <c r="S22" s="776"/>
      <c r="T22" s="775"/>
      <c r="U22" s="776"/>
      <c r="V22" s="775"/>
      <c r="W22" s="776"/>
      <c r="X22" s="1816"/>
      <c r="Y22" s="3230"/>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28"/>
      <c r="Q23" s="1813" t="str">
        <f>B23</f>
        <v>自然及人文环境</v>
      </c>
      <c r="R23" s="775" t="s">
        <v>17</v>
      </c>
      <c r="S23" s="776">
        <f>F23</f>
        <v>100</v>
      </c>
      <c r="T23" s="775" t="s">
        <v>17</v>
      </c>
      <c r="U23" s="776">
        <f>H23</f>
        <v>100</v>
      </c>
      <c r="V23" s="775" t="s">
        <v>17</v>
      </c>
      <c r="W23" s="776">
        <f>J23</f>
        <v>100</v>
      </c>
      <c r="X23" s="1816"/>
      <c r="Y23" s="3230"/>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28"/>
      <c r="Q24" s="1813"/>
      <c r="R24" s="775"/>
      <c r="S24" s="776"/>
      <c r="T24" s="775"/>
      <c r="U24" s="776"/>
      <c r="V24" s="775"/>
      <c r="W24" s="776"/>
      <c r="X24" s="1816"/>
      <c r="Y24" s="3230"/>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28"/>
      <c r="Q25" s="1813" t="str">
        <f t="shared" ref="Q25:Q46" si="11">B25</f>
        <v>临街状况</v>
      </c>
      <c r="R25" s="775" t="s">
        <v>17</v>
      </c>
      <c r="S25" s="776">
        <f>F25</f>
        <v>100</v>
      </c>
      <c r="T25" s="775" t="s">
        <v>17</v>
      </c>
      <c r="U25" s="776">
        <f>H25</f>
        <v>100</v>
      </c>
      <c r="V25" s="775" t="s">
        <v>17</v>
      </c>
      <c r="W25" s="776">
        <f>J25</f>
        <v>100</v>
      </c>
      <c r="X25" s="1816"/>
      <c r="Y25" s="3230"/>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28"/>
      <c r="Q26" s="1813" t="str">
        <f t="shared" si="11"/>
        <v>平面位置/可视性</v>
      </c>
      <c r="R26" s="775" t="s">
        <v>17</v>
      </c>
      <c r="S26" s="776">
        <f>F26</f>
        <v>100</v>
      </c>
      <c r="T26" s="775" t="s">
        <v>17</v>
      </c>
      <c r="U26" s="776">
        <f>H26</f>
        <v>100</v>
      </c>
      <c r="V26" s="775" t="s">
        <v>17</v>
      </c>
      <c r="W26" s="776">
        <f>J26</f>
        <v>100</v>
      </c>
      <c r="X26" s="1816"/>
      <c r="Y26" s="3230"/>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28"/>
      <c r="Q27" s="1798" t="str">
        <f t="shared" si="11"/>
        <v>人流量</v>
      </c>
      <c r="R27" s="771" t="s">
        <v>17</v>
      </c>
      <c r="S27" s="772">
        <f>F27</f>
        <v>100</v>
      </c>
      <c r="T27" s="771" t="s">
        <v>17</v>
      </c>
      <c r="U27" s="772">
        <f>H27</f>
        <v>100</v>
      </c>
      <c r="V27" s="771" t="s">
        <v>17</v>
      </c>
      <c r="W27" s="772">
        <f>J27</f>
        <v>100</v>
      </c>
      <c r="X27" s="773"/>
      <c r="Y27" s="3230"/>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28"/>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30"/>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28"/>
      <c r="Q29" s="1813">
        <f t="shared" si="11"/>
        <v>111</v>
      </c>
      <c r="R29" s="775" t="s">
        <v>17</v>
      </c>
      <c r="S29" s="776">
        <f t="shared" si="12"/>
        <v>100</v>
      </c>
      <c r="T29" s="775" t="s">
        <v>17</v>
      </c>
      <c r="U29" s="776">
        <f t="shared" si="13"/>
        <v>100</v>
      </c>
      <c r="V29" s="775" t="s">
        <v>17</v>
      </c>
      <c r="W29" s="776">
        <f t="shared" si="14"/>
        <v>100</v>
      </c>
      <c r="X29" s="1816"/>
      <c r="Y29" s="3230"/>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28"/>
      <c r="Q30" s="1813">
        <f t="shared" si="11"/>
        <v>111</v>
      </c>
      <c r="R30" s="775" t="s">
        <v>17</v>
      </c>
      <c r="S30" s="776">
        <f t="shared" si="12"/>
        <v>100</v>
      </c>
      <c r="T30" s="775" t="s">
        <v>17</v>
      </c>
      <c r="U30" s="776">
        <f t="shared" si="13"/>
        <v>100</v>
      </c>
      <c r="V30" s="775" t="s">
        <v>17</v>
      </c>
      <c r="W30" s="776">
        <f t="shared" si="14"/>
        <v>100</v>
      </c>
      <c r="X30" s="1816"/>
      <c r="Y30" s="3230"/>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28"/>
      <c r="Q31" s="1813">
        <f t="shared" si="11"/>
        <v>111</v>
      </c>
      <c r="R31" s="775" t="s">
        <v>17</v>
      </c>
      <c r="S31" s="776">
        <f t="shared" si="12"/>
        <v>100</v>
      </c>
      <c r="T31" s="775" t="s">
        <v>17</v>
      </c>
      <c r="U31" s="776">
        <f t="shared" si="13"/>
        <v>100</v>
      </c>
      <c r="V31" s="775" t="s">
        <v>17</v>
      </c>
      <c r="W31" s="776">
        <f t="shared" si="14"/>
        <v>100</v>
      </c>
      <c r="X31" s="1816"/>
      <c r="Y31" s="3230"/>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31" t="s">
        <v>2568</v>
      </c>
      <c r="Q32" s="1813" t="str">
        <f t="shared" si="11"/>
        <v>商业类型</v>
      </c>
      <c r="R32" s="775" t="s">
        <v>17</v>
      </c>
      <c r="S32" s="776">
        <f t="shared" si="12"/>
        <v>100</v>
      </c>
      <c r="T32" s="775" t="s">
        <v>17</v>
      </c>
      <c r="U32" s="776">
        <f t="shared" si="13"/>
        <v>100</v>
      </c>
      <c r="V32" s="775" t="s">
        <v>17</v>
      </c>
      <c r="W32" s="776">
        <f t="shared" si="14"/>
        <v>100</v>
      </c>
      <c r="X32" s="1816"/>
      <c r="Y32" s="3234"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32"/>
      <c r="Q33" s="777" t="str">
        <f t="shared" si="11"/>
        <v>项目建筑规模</v>
      </c>
      <c r="R33" s="778" t="s">
        <v>17</v>
      </c>
      <c r="S33" s="779" t="e">
        <f t="shared" si="12"/>
        <v>#N/A</v>
      </c>
      <c r="T33" s="778" t="s">
        <v>17</v>
      </c>
      <c r="U33" s="779" t="e">
        <f t="shared" si="13"/>
        <v>#N/A</v>
      </c>
      <c r="V33" s="778" t="s">
        <v>17</v>
      </c>
      <c r="W33" s="779" t="e">
        <f t="shared" si="14"/>
        <v>#N/A</v>
      </c>
      <c r="X33" s="780"/>
      <c r="Y33" s="3234"/>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32"/>
      <c r="Q34" s="1813" t="str">
        <f t="shared" si="11"/>
        <v>建筑结构</v>
      </c>
      <c r="R34" s="775" t="s">
        <v>17</v>
      </c>
      <c r="S34" s="776">
        <f t="shared" si="12"/>
        <v>100</v>
      </c>
      <c r="T34" s="775" t="s">
        <v>17</v>
      </c>
      <c r="U34" s="776">
        <f t="shared" si="13"/>
        <v>100</v>
      </c>
      <c r="V34" s="775" t="s">
        <v>17</v>
      </c>
      <c r="W34" s="776">
        <f t="shared" si="14"/>
        <v>100</v>
      </c>
      <c r="X34" s="1816"/>
      <c r="Y34" s="3234"/>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32"/>
      <c r="Q35" s="1813" t="str">
        <f t="shared" si="11"/>
        <v>公共部分装修</v>
      </c>
      <c r="R35" s="775" t="s">
        <v>17</v>
      </c>
      <c r="S35" s="776">
        <f t="shared" si="12"/>
        <v>100</v>
      </c>
      <c r="T35" s="775" t="s">
        <v>17</v>
      </c>
      <c r="U35" s="776">
        <f t="shared" si="13"/>
        <v>100</v>
      </c>
      <c r="V35" s="775" t="s">
        <v>17</v>
      </c>
      <c r="W35" s="776">
        <f t="shared" si="14"/>
        <v>100</v>
      </c>
      <c r="X35" s="1816"/>
      <c r="Y35" s="3234"/>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32"/>
      <c r="Q36" s="1813" t="str">
        <f t="shared" si="11"/>
        <v>成新度</v>
      </c>
      <c r="R36" s="775" t="s">
        <v>17</v>
      </c>
      <c r="S36" s="776" t="e">
        <f t="shared" si="12"/>
        <v>#N/A</v>
      </c>
      <c r="T36" s="775" t="s">
        <v>17</v>
      </c>
      <c r="U36" s="776" t="e">
        <f t="shared" si="13"/>
        <v>#N/A</v>
      </c>
      <c r="V36" s="775" t="s">
        <v>17</v>
      </c>
      <c r="W36" s="776" t="e">
        <f t="shared" si="14"/>
        <v>#N/A</v>
      </c>
      <c r="X36" s="1816"/>
      <c r="Y36" s="3234"/>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32"/>
      <c r="Q37" s="1798" t="str">
        <f t="shared" si="11"/>
        <v>市政基础设施</v>
      </c>
      <c r="R37" s="771" t="s">
        <v>17</v>
      </c>
      <c r="S37" s="772">
        <f t="shared" si="12"/>
        <v>100</v>
      </c>
      <c r="T37" s="771" t="s">
        <v>17</v>
      </c>
      <c r="U37" s="772">
        <f t="shared" si="13"/>
        <v>100</v>
      </c>
      <c r="V37" s="771" t="s">
        <v>17</v>
      </c>
      <c r="W37" s="772">
        <f t="shared" si="14"/>
        <v>100</v>
      </c>
      <c r="X37" s="773"/>
      <c r="Y37" s="3234"/>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32" t="s">
        <v>2568</v>
      </c>
      <c r="Q38" s="1813" t="str">
        <f t="shared" si="11"/>
        <v>业态</v>
      </c>
      <c r="R38" s="775" t="s">
        <v>17</v>
      </c>
      <c r="S38" s="776">
        <f t="shared" si="12"/>
        <v>100</v>
      </c>
      <c r="T38" s="775" t="s">
        <v>17</v>
      </c>
      <c r="U38" s="776">
        <f t="shared" si="13"/>
        <v>100</v>
      </c>
      <c r="V38" s="775" t="s">
        <v>17</v>
      </c>
      <c r="W38" s="776">
        <f t="shared" si="14"/>
        <v>100</v>
      </c>
      <c r="X38" s="1816"/>
      <c r="Y38" s="3234"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32"/>
      <c r="Q39" s="1813" t="str">
        <f t="shared" si="11"/>
        <v>层高</v>
      </c>
      <c r="R39" s="775" t="s">
        <v>17</v>
      </c>
      <c r="S39" s="776">
        <f t="shared" si="12"/>
        <v>100</v>
      </c>
      <c r="T39" s="775" t="s">
        <v>17</v>
      </c>
      <c r="U39" s="776">
        <f t="shared" si="13"/>
        <v>100</v>
      </c>
      <c r="V39" s="775" t="s">
        <v>17</v>
      </c>
      <c r="W39" s="776">
        <f t="shared" si="14"/>
        <v>100</v>
      </c>
      <c r="X39" s="1816"/>
      <c r="Y39" s="3234"/>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32"/>
      <c r="Q40" s="1813" t="str">
        <f t="shared" si="11"/>
        <v>单套建筑面积</v>
      </c>
      <c r="R40" s="775" t="s">
        <v>17</v>
      </c>
      <c r="S40" s="776">
        <f t="shared" si="12"/>
        <v>100</v>
      </c>
      <c r="T40" s="775" t="s">
        <v>17</v>
      </c>
      <c r="U40" s="776">
        <f t="shared" si="13"/>
        <v>100</v>
      </c>
      <c r="V40" s="775" t="s">
        <v>17</v>
      </c>
      <c r="W40" s="776">
        <f t="shared" si="14"/>
        <v>100</v>
      </c>
      <c r="X40" s="1816"/>
      <c r="Y40" s="3234"/>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32"/>
      <c r="Q41" s="777" t="str">
        <f t="shared" si="11"/>
        <v>进深比</v>
      </c>
      <c r="R41" s="778" t="s">
        <v>17</v>
      </c>
      <c r="S41" s="779">
        <f t="shared" si="12"/>
        <v>100</v>
      </c>
      <c r="T41" s="778" t="s">
        <v>17</v>
      </c>
      <c r="U41" s="779">
        <f t="shared" si="13"/>
        <v>100</v>
      </c>
      <c r="V41" s="778" t="s">
        <v>17</v>
      </c>
      <c r="W41" s="779">
        <f t="shared" si="14"/>
        <v>100</v>
      </c>
      <c r="X41" s="780"/>
      <c r="Y41" s="3234"/>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32"/>
      <c r="Q42" s="1813" t="str">
        <f t="shared" si="11"/>
        <v>内部装修</v>
      </c>
      <c r="R42" s="775" t="s">
        <v>17</v>
      </c>
      <c r="S42" s="776">
        <f t="shared" si="12"/>
        <v>100</v>
      </c>
      <c r="T42" s="775" t="s">
        <v>17</v>
      </c>
      <c r="U42" s="776">
        <f t="shared" si="13"/>
        <v>100</v>
      </c>
      <c r="V42" s="775" t="s">
        <v>17</v>
      </c>
      <c r="W42" s="776">
        <f t="shared" si="14"/>
        <v>100</v>
      </c>
      <c r="X42" s="1816"/>
      <c r="Y42" s="3234"/>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32"/>
      <c r="Q43" s="1813" t="str">
        <f t="shared" si="11"/>
        <v>内部装修维护情况</v>
      </c>
      <c r="R43" s="775" t="s">
        <v>17</v>
      </c>
      <c r="S43" s="776">
        <f t="shared" si="12"/>
        <v>100</v>
      </c>
      <c r="T43" s="775" t="s">
        <v>17</v>
      </c>
      <c r="U43" s="776">
        <f t="shared" si="13"/>
        <v>100</v>
      </c>
      <c r="V43" s="775" t="s">
        <v>17</v>
      </c>
      <c r="W43" s="776">
        <f t="shared" si="14"/>
        <v>100</v>
      </c>
      <c r="X43" s="1816"/>
      <c r="Y43" s="3234"/>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32"/>
      <c r="Q44" s="1798">
        <f t="shared" si="11"/>
        <v>111</v>
      </c>
      <c r="R44" s="771" t="s">
        <v>17</v>
      </c>
      <c r="S44" s="772">
        <f t="shared" si="12"/>
        <v>100</v>
      </c>
      <c r="T44" s="771" t="s">
        <v>17</v>
      </c>
      <c r="U44" s="772">
        <f t="shared" si="13"/>
        <v>100</v>
      </c>
      <c r="V44" s="771" t="s">
        <v>17</v>
      </c>
      <c r="W44" s="772">
        <f t="shared" si="14"/>
        <v>100</v>
      </c>
      <c r="X44" s="773"/>
      <c r="Y44" s="3234"/>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32"/>
      <c r="Q45" s="1813">
        <f t="shared" si="11"/>
        <v>111</v>
      </c>
      <c r="R45" s="775" t="s">
        <v>17</v>
      </c>
      <c r="S45" s="776">
        <f t="shared" si="12"/>
        <v>100</v>
      </c>
      <c r="T45" s="775" t="s">
        <v>17</v>
      </c>
      <c r="U45" s="776">
        <f t="shared" si="13"/>
        <v>100</v>
      </c>
      <c r="V45" s="775" t="s">
        <v>17</v>
      </c>
      <c r="W45" s="776">
        <f t="shared" si="14"/>
        <v>100</v>
      </c>
      <c r="X45" s="1816"/>
      <c r="Y45" s="3234"/>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33"/>
      <c r="Q46" s="1813">
        <f t="shared" si="11"/>
        <v>111</v>
      </c>
      <c r="R46" s="775" t="s">
        <v>17</v>
      </c>
      <c r="S46" s="776">
        <f t="shared" si="12"/>
        <v>100</v>
      </c>
      <c r="T46" s="775" t="s">
        <v>17</v>
      </c>
      <c r="U46" s="776">
        <f t="shared" si="13"/>
        <v>100</v>
      </c>
      <c r="V46" s="775" t="s">
        <v>17</v>
      </c>
      <c r="W46" s="776">
        <f t="shared" si="14"/>
        <v>100</v>
      </c>
      <c r="X46" s="1816"/>
      <c r="Y46" s="3235"/>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236" t="str">
        <f>A47</f>
        <v>成交单价（元/平方米）</v>
      </c>
      <c r="Q47" s="3236"/>
      <c r="R47" s="3223">
        <f>E47</f>
        <v>0</v>
      </c>
      <c r="S47" s="3223"/>
      <c r="T47" s="3223">
        <f>G47</f>
        <v>0</v>
      </c>
      <c r="U47" s="3223"/>
      <c r="V47" s="3223">
        <f>I47</f>
        <v>0</v>
      </c>
      <c r="W47" s="3223"/>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238" t="str">
        <f>A49</f>
        <v>估价对象XX用房的比较价值（楼面单价，元/平方米）</v>
      </c>
      <c r="Q49" s="3239"/>
      <c r="R49" s="3240" t="e">
        <f>IF(F1="售价",ROUND(AVERAGE(R48:V48),0),ROUND(AVERAGE(R48:V48),1))</f>
        <v>#DIV/0!</v>
      </c>
      <c r="S49" s="3240"/>
      <c r="T49" s="3240"/>
      <c r="U49" s="3240"/>
      <c r="V49" s="3240"/>
      <c r="W49" s="3240"/>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49" t="s">
        <v>2654</v>
      </c>
      <c r="Q4" s="3250"/>
      <c r="R4" s="3253" t="s">
        <v>2650</v>
      </c>
      <c r="S4" s="3254"/>
      <c r="T4" s="3253" t="s">
        <v>2651</v>
      </c>
      <c r="U4" s="3254"/>
      <c r="V4" s="3255" t="s">
        <v>2652</v>
      </c>
      <c r="W4" s="3255"/>
      <c r="X4" s="2671"/>
      <c r="Y4" s="3253" t="s">
        <v>2654</v>
      </c>
      <c r="Z4" s="3254"/>
      <c r="AA4" s="3257" t="s">
        <v>2650</v>
      </c>
      <c r="AB4" s="3257" t="s">
        <v>2651</v>
      </c>
      <c r="AC4" s="3246" t="s">
        <v>2652</v>
      </c>
    </row>
    <row r="5" spans="1:29" ht="15">
      <c r="A5" s="405"/>
      <c r="B5" s="406"/>
      <c r="C5" s="3212" t="s">
        <v>2545</v>
      </c>
      <c r="D5" s="3213"/>
      <c r="E5" s="3241" t="s">
        <v>2546</v>
      </c>
      <c r="F5" s="3242"/>
      <c r="G5" s="3212" t="s">
        <v>2547</v>
      </c>
      <c r="H5" s="3213"/>
      <c r="I5" s="3212" t="s">
        <v>2548</v>
      </c>
      <c r="J5" s="3213"/>
      <c r="K5" s="611"/>
      <c r="L5" s="1133"/>
      <c r="M5" s="1134"/>
      <c r="N5" s="1134"/>
      <c r="O5" s="1134"/>
      <c r="P5" s="3251"/>
      <c r="Q5" s="3205"/>
      <c r="R5" s="3210"/>
      <c r="S5" s="3211"/>
      <c r="T5" s="3210"/>
      <c r="U5" s="3211"/>
      <c r="V5" s="3223"/>
      <c r="W5" s="3223"/>
      <c r="X5" s="1816"/>
      <c r="Y5" s="3210"/>
      <c r="Z5" s="3211"/>
      <c r="AA5" s="3196"/>
      <c r="AB5" s="3196"/>
      <c r="AC5" s="3247"/>
    </row>
    <row r="6" spans="1:29" ht="15.75" thickBot="1">
      <c r="A6" s="407"/>
      <c r="B6" s="408"/>
      <c r="C6" s="3214" t="s">
        <v>2549</v>
      </c>
      <c r="D6" s="3215"/>
      <c r="E6" s="3216" t="s">
        <v>2549</v>
      </c>
      <c r="F6" s="3217"/>
      <c r="G6" s="3214" t="s">
        <v>2549</v>
      </c>
      <c r="H6" s="3215"/>
      <c r="I6" s="3214" t="s">
        <v>2549</v>
      </c>
      <c r="J6" s="3215"/>
      <c r="K6" s="611" t="s">
        <v>2550</v>
      </c>
      <c r="L6" s="1133"/>
      <c r="M6" s="1134"/>
      <c r="N6" s="1134"/>
      <c r="O6" s="1134"/>
      <c r="P6" s="3252"/>
      <c r="Q6" s="3207"/>
      <c r="R6" s="3210"/>
      <c r="S6" s="3211"/>
      <c r="T6" s="3221"/>
      <c r="U6" s="3222"/>
      <c r="V6" s="3223"/>
      <c r="W6" s="3223"/>
      <c r="X6" s="1816"/>
      <c r="Y6" s="3221"/>
      <c r="Z6" s="3222"/>
      <c r="AA6" s="3197"/>
      <c r="AB6" s="3197"/>
      <c r="AC6" s="3248"/>
    </row>
    <row r="7" spans="1:29" s="117" customFormat="1" ht="15.75" thickBot="1">
      <c r="A7" s="409" t="s">
        <v>2551</v>
      </c>
      <c r="B7" s="410"/>
      <c r="C7" s="411">
        <f>'数据-取费表'!B2</f>
        <v>43017</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56" t="s">
        <v>2552</v>
      </c>
      <c r="Q7" s="3225"/>
      <c r="R7" s="771" t="s">
        <v>17</v>
      </c>
      <c r="S7" s="772">
        <f t="shared" ref="S7:S15" si="0">F7</f>
        <v>0</v>
      </c>
      <c r="T7" s="771" t="s">
        <v>17</v>
      </c>
      <c r="U7" s="772">
        <f t="shared" ref="U7:U15" si="1">H7</f>
        <v>0</v>
      </c>
      <c r="V7" s="771" t="s">
        <v>17</v>
      </c>
      <c r="W7" s="772">
        <f t="shared" ref="W7:W15" si="2">J7</f>
        <v>0</v>
      </c>
      <c r="X7" s="773"/>
      <c r="Y7" s="3224" t="s">
        <v>2552</v>
      </c>
      <c r="Z7" s="3226"/>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56" t="s">
        <v>2555</v>
      </c>
      <c r="Q8" s="3226"/>
      <c r="R8" s="771" t="s">
        <v>17</v>
      </c>
      <c r="S8" s="772">
        <f t="shared" si="0"/>
        <v>0</v>
      </c>
      <c r="T8" s="771" t="s">
        <v>17</v>
      </c>
      <c r="U8" s="772">
        <f t="shared" si="1"/>
        <v>0</v>
      </c>
      <c r="V8" s="771" t="s">
        <v>17</v>
      </c>
      <c r="W8" s="772">
        <f t="shared" si="2"/>
        <v>0</v>
      </c>
      <c r="X8" s="773"/>
      <c r="Y8" s="3224" t="s">
        <v>2555</v>
      </c>
      <c r="Z8" s="3226"/>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220"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220"/>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220"/>
      <c r="Q11" s="1798" t="str">
        <f t="shared" si="6"/>
        <v>容积率</v>
      </c>
      <c r="R11" s="771" t="s">
        <v>17</v>
      </c>
      <c r="S11" s="772" t="e">
        <f t="shared" si="0"/>
        <v>#N/A</v>
      </c>
      <c r="T11" s="771" t="s">
        <v>17</v>
      </c>
      <c r="U11" s="772" t="e">
        <f t="shared" si="1"/>
        <v>#N/A</v>
      </c>
      <c r="V11" s="771" t="s">
        <v>17</v>
      </c>
      <c r="W11" s="772" t="e">
        <f t="shared" si="2"/>
        <v>#N/A</v>
      </c>
      <c r="X11" s="773"/>
      <c r="Y11" s="3023"/>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220"/>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220"/>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220"/>
      <c r="Q14" s="1798">
        <f t="shared" si="6"/>
        <v>111</v>
      </c>
      <c r="R14" s="771" t="s">
        <v>17</v>
      </c>
      <c r="S14" s="772">
        <f t="shared" si="0"/>
        <v>100</v>
      </c>
      <c r="T14" s="771" t="s">
        <v>17</v>
      </c>
      <c r="U14" s="772">
        <f t="shared" si="1"/>
        <v>100</v>
      </c>
      <c r="V14" s="771" t="s">
        <v>17</v>
      </c>
      <c r="W14" s="772">
        <f t="shared" si="2"/>
        <v>100</v>
      </c>
      <c r="X14" s="773"/>
      <c r="Y14" s="3023"/>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27" t="s">
        <v>2563</v>
      </c>
      <c r="Q15" s="1813" t="str">
        <f t="shared" si="6"/>
        <v>办公集聚程度</v>
      </c>
      <c r="R15" s="775" t="s">
        <v>17</v>
      </c>
      <c r="S15" s="776">
        <f t="shared" si="0"/>
        <v>100</v>
      </c>
      <c r="T15" s="775" t="s">
        <v>17</v>
      </c>
      <c r="U15" s="776">
        <f t="shared" si="1"/>
        <v>100</v>
      </c>
      <c r="V15" s="775" t="s">
        <v>17</v>
      </c>
      <c r="W15" s="776">
        <f t="shared" si="2"/>
        <v>100</v>
      </c>
      <c r="X15" s="1816"/>
      <c r="Y15" s="3229"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28"/>
      <c r="Q16" s="1813"/>
      <c r="R16" s="775"/>
      <c r="S16" s="776"/>
      <c r="T16" s="775"/>
      <c r="U16" s="776"/>
      <c r="V16" s="775"/>
      <c r="W16" s="776"/>
      <c r="X16" s="1816"/>
      <c r="Y16" s="3230"/>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28"/>
      <c r="Q17" s="1813" t="str">
        <f>B17</f>
        <v>交通便捷度</v>
      </c>
      <c r="R17" s="775" t="s">
        <v>17</v>
      </c>
      <c r="S17" s="776">
        <f>F17</f>
        <v>100</v>
      </c>
      <c r="T17" s="775" t="s">
        <v>17</v>
      </c>
      <c r="U17" s="776">
        <f>H17</f>
        <v>100</v>
      </c>
      <c r="V17" s="775" t="s">
        <v>17</v>
      </c>
      <c r="W17" s="776">
        <f>J17</f>
        <v>100</v>
      </c>
      <c r="X17" s="1816"/>
      <c r="Y17" s="3230"/>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28"/>
      <c r="Q18" s="1813"/>
      <c r="R18" s="775"/>
      <c r="S18" s="776"/>
      <c r="T18" s="775"/>
      <c r="U18" s="776"/>
      <c r="V18" s="775"/>
      <c r="W18" s="776"/>
      <c r="X18" s="1816"/>
      <c r="Y18" s="3230"/>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28"/>
      <c r="Q19" s="1813" t="str">
        <f>B19</f>
        <v>公共配套设施</v>
      </c>
      <c r="R19" s="775" t="s">
        <v>17</v>
      </c>
      <c r="S19" s="776">
        <f>F19</f>
        <v>100</v>
      </c>
      <c r="T19" s="775" t="s">
        <v>17</v>
      </c>
      <c r="U19" s="776">
        <f>H19</f>
        <v>100</v>
      </c>
      <c r="V19" s="775" t="s">
        <v>17</v>
      </c>
      <c r="W19" s="776">
        <f>J19</f>
        <v>100</v>
      </c>
      <c r="X19" s="1816"/>
      <c r="Y19" s="3230"/>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28"/>
      <c r="Q20" s="1813"/>
      <c r="R20" s="775"/>
      <c r="S20" s="776"/>
      <c r="T20" s="775"/>
      <c r="U20" s="776"/>
      <c r="V20" s="775"/>
      <c r="W20" s="776"/>
      <c r="X20" s="1816"/>
      <c r="Y20" s="3230"/>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28"/>
      <c r="Q21" s="1813" t="str">
        <f>B21</f>
        <v>基础设施水平</v>
      </c>
      <c r="R21" s="775" t="s">
        <v>17</v>
      </c>
      <c r="S21" s="776">
        <f>F21</f>
        <v>100</v>
      </c>
      <c r="T21" s="775" t="s">
        <v>17</v>
      </c>
      <c r="U21" s="776">
        <f>H21</f>
        <v>100</v>
      </c>
      <c r="V21" s="775" t="s">
        <v>17</v>
      </c>
      <c r="W21" s="776">
        <f>J21</f>
        <v>100</v>
      </c>
      <c r="X21" s="1816"/>
      <c r="Y21" s="3230"/>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28"/>
      <c r="Q22" s="1813"/>
      <c r="R22" s="775"/>
      <c r="S22" s="776"/>
      <c r="T22" s="775"/>
      <c r="U22" s="776"/>
      <c r="V22" s="775"/>
      <c r="W22" s="776"/>
      <c r="X22" s="1816"/>
      <c r="Y22" s="3230"/>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28"/>
      <c r="Q23" s="1813" t="str">
        <f>B23</f>
        <v>环境质量</v>
      </c>
      <c r="R23" s="775" t="s">
        <v>17</v>
      </c>
      <c r="S23" s="776">
        <f>F23</f>
        <v>100</v>
      </c>
      <c r="T23" s="775" t="s">
        <v>17</v>
      </c>
      <c r="U23" s="776">
        <f>H23</f>
        <v>100</v>
      </c>
      <c r="V23" s="775" t="s">
        <v>17</v>
      </c>
      <c r="W23" s="776">
        <f>J23</f>
        <v>100</v>
      </c>
      <c r="X23" s="1816"/>
      <c r="Y23" s="3230"/>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28"/>
      <c r="Q24" s="1813"/>
      <c r="R24" s="775"/>
      <c r="S24" s="776"/>
      <c r="T24" s="775"/>
      <c r="U24" s="776"/>
      <c r="V24" s="775"/>
      <c r="W24" s="776"/>
      <c r="X24" s="1816"/>
      <c r="Y24" s="3230"/>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28"/>
      <c r="Q25" s="1813" t="str">
        <f>B25</f>
        <v>毗邻道路的类型与等级</v>
      </c>
      <c r="R25" s="775" t="s">
        <v>17</v>
      </c>
      <c r="S25" s="776">
        <f>F25</f>
        <v>100</v>
      </c>
      <c r="T25" s="775" t="s">
        <v>17</v>
      </c>
      <c r="U25" s="776">
        <f>H25</f>
        <v>100</v>
      </c>
      <c r="V25" s="775" t="s">
        <v>17</v>
      </c>
      <c r="W25" s="776">
        <f>J25</f>
        <v>100</v>
      </c>
      <c r="X25" s="1816"/>
      <c r="Y25" s="3230"/>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28"/>
      <c r="Q26" s="1813"/>
      <c r="R26" s="775"/>
      <c r="S26" s="776"/>
      <c r="T26" s="775"/>
      <c r="U26" s="776"/>
      <c r="V26" s="775"/>
      <c r="W26" s="776"/>
      <c r="X26" s="1816"/>
      <c r="Y26" s="3230"/>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28"/>
      <c r="Q27" s="1813" t="str">
        <f t="shared" ref="Q27:Q47" si="11">B27</f>
        <v>楼层</v>
      </c>
      <c r="R27" s="775" t="s">
        <v>17</v>
      </c>
      <c r="S27" s="776">
        <f>F27</f>
        <v>100</v>
      </c>
      <c r="T27" s="775" t="s">
        <v>17</v>
      </c>
      <c r="U27" s="776">
        <f>H27</f>
        <v>100</v>
      </c>
      <c r="V27" s="775" t="s">
        <v>17</v>
      </c>
      <c r="W27" s="776">
        <f>J27</f>
        <v>100</v>
      </c>
      <c r="X27" s="1816"/>
      <c r="Y27" s="3230"/>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28"/>
      <c r="Q28" s="1798" t="str">
        <f t="shared" si="11"/>
        <v>朝向</v>
      </c>
      <c r="R28" s="771" t="s">
        <v>17</v>
      </c>
      <c r="S28" s="772">
        <f>F28</f>
        <v>100</v>
      </c>
      <c r="T28" s="771" t="s">
        <v>17</v>
      </c>
      <c r="U28" s="772">
        <f>H28</f>
        <v>100</v>
      </c>
      <c r="V28" s="771" t="s">
        <v>17</v>
      </c>
      <c r="W28" s="772">
        <f>J28</f>
        <v>100</v>
      </c>
      <c r="X28" s="773"/>
      <c r="Y28" s="3230"/>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28"/>
      <c r="Q29" s="1813">
        <f t="shared" si="11"/>
        <v>111</v>
      </c>
      <c r="R29" s="775" t="s">
        <v>17</v>
      </c>
      <c r="S29" s="776">
        <f t="shared" ref="S29:S47" si="12">F29</f>
        <v>100</v>
      </c>
      <c r="T29" s="775" t="s">
        <v>17</v>
      </c>
      <c r="U29" s="776">
        <f t="shared" ref="U29:U47" si="13">H29</f>
        <v>100</v>
      </c>
      <c r="V29" s="775" t="s">
        <v>17</v>
      </c>
      <c r="W29" s="776">
        <f t="shared" ref="W29:W47" si="14">J29</f>
        <v>100</v>
      </c>
      <c r="X29" s="1816"/>
      <c r="Y29" s="3230"/>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28"/>
      <c r="Q30" s="1813">
        <f t="shared" si="11"/>
        <v>111</v>
      </c>
      <c r="R30" s="775" t="s">
        <v>17</v>
      </c>
      <c r="S30" s="776">
        <f t="shared" si="12"/>
        <v>100</v>
      </c>
      <c r="T30" s="775" t="s">
        <v>17</v>
      </c>
      <c r="U30" s="776">
        <f t="shared" si="13"/>
        <v>100</v>
      </c>
      <c r="V30" s="775" t="s">
        <v>17</v>
      </c>
      <c r="W30" s="776">
        <f t="shared" si="14"/>
        <v>100</v>
      </c>
      <c r="X30" s="1816"/>
      <c r="Y30" s="3230"/>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28"/>
      <c r="Q31" s="1813">
        <f t="shared" si="11"/>
        <v>111</v>
      </c>
      <c r="R31" s="775" t="s">
        <v>17</v>
      </c>
      <c r="S31" s="776">
        <f t="shared" si="12"/>
        <v>100</v>
      </c>
      <c r="T31" s="775" t="s">
        <v>17</v>
      </c>
      <c r="U31" s="776">
        <f t="shared" si="13"/>
        <v>100</v>
      </c>
      <c r="V31" s="775" t="s">
        <v>17</v>
      </c>
      <c r="W31" s="776">
        <f t="shared" si="14"/>
        <v>100</v>
      </c>
      <c r="X31" s="1816"/>
      <c r="Y31" s="3230"/>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28"/>
      <c r="Q32" s="1813">
        <f t="shared" si="11"/>
        <v>111</v>
      </c>
      <c r="R32" s="775" t="s">
        <v>17</v>
      </c>
      <c r="S32" s="776">
        <f t="shared" si="12"/>
        <v>100</v>
      </c>
      <c r="T32" s="775" t="s">
        <v>17</v>
      </c>
      <c r="U32" s="776">
        <f t="shared" si="13"/>
        <v>100</v>
      </c>
      <c r="V32" s="775" t="s">
        <v>17</v>
      </c>
      <c r="W32" s="776">
        <f t="shared" si="14"/>
        <v>100</v>
      </c>
      <c r="X32" s="1816"/>
      <c r="Y32" s="3230"/>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31" t="s">
        <v>2568</v>
      </c>
      <c r="Q33" s="1813" t="str">
        <f t="shared" si="11"/>
        <v>建筑类型</v>
      </c>
      <c r="R33" s="775" t="s">
        <v>17</v>
      </c>
      <c r="S33" s="776">
        <f t="shared" si="12"/>
        <v>100</v>
      </c>
      <c r="T33" s="775" t="s">
        <v>17</v>
      </c>
      <c r="U33" s="776">
        <f t="shared" si="13"/>
        <v>100</v>
      </c>
      <c r="V33" s="775" t="s">
        <v>17</v>
      </c>
      <c r="W33" s="776">
        <f t="shared" si="14"/>
        <v>100</v>
      </c>
      <c r="X33" s="1816"/>
      <c r="Y33" s="3234"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32"/>
      <c r="Q34" s="777" t="str">
        <f t="shared" si="11"/>
        <v>项目建筑规模</v>
      </c>
      <c r="R34" s="778" t="s">
        <v>17</v>
      </c>
      <c r="S34" s="779" t="e">
        <f t="shared" si="12"/>
        <v>#N/A</v>
      </c>
      <c r="T34" s="778" t="s">
        <v>17</v>
      </c>
      <c r="U34" s="779" t="e">
        <f t="shared" si="13"/>
        <v>#N/A</v>
      </c>
      <c r="V34" s="778" t="s">
        <v>17</v>
      </c>
      <c r="W34" s="779" t="e">
        <f t="shared" si="14"/>
        <v>#N/A</v>
      </c>
      <c r="X34" s="780"/>
      <c r="Y34" s="3234"/>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32"/>
      <c r="Q35" s="1813" t="str">
        <f t="shared" si="11"/>
        <v>建筑结构</v>
      </c>
      <c r="R35" s="775" t="s">
        <v>17</v>
      </c>
      <c r="S35" s="776">
        <f t="shared" si="12"/>
        <v>100</v>
      </c>
      <c r="T35" s="775" t="s">
        <v>17</v>
      </c>
      <c r="U35" s="776">
        <f t="shared" si="13"/>
        <v>100</v>
      </c>
      <c r="V35" s="775" t="s">
        <v>17</v>
      </c>
      <c r="W35" s="776">
        <f t="shared" si="14"/>
        <v>100</v>
      </c>
      <c r="X35" s="1816"/>
      <c r="Y35" s="3234"/>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32"/>
      <c r="Q36" s="1813" t="str">
        <f t="shared" si="11"/>
        <v>公共部分装修</v>
      </c>
      <c r="R36" s="775" t="s">
        <v>17</v>
      </c>
      <c r="S36" s="776">
        <f t="shared" si="12"/>
        <v>100</v>
      </c>
      <c r="T36" s="775" t="s">
        <v>17</v>
      </c>
      <c r="U36" s="776">
        <f t="shared" si="13"/>
        <v>100</v>
      </c>
      <c r="V36" s="775" t="s">
        <v>17</v>
      </c>
      <c r="W36" s="776">
        <f t="shared" si="14"/>
        <v>100</v>
      </c>
      <c r="X36" s="1816"/>
      <c r="Y36" s="3234"/>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32"/>
      <c r="Q37" s="1813" t="str">
        <f t="shared" si="11"/>
        <v>成新度</v>
      </c>
      <c r="R37" s="775" t="s">
        <v>17</v>
      </c>
      <c r="S37" s="776" t="e">
        <f t="shared" si="12"/>
        <v>#N/A</v>
      </c>
      <c r="T37" s="775" t="s">
        <v>17</v>
      </c>
      <c r="U37" s="776" t="e">
        <f t="shared" si="13"/>
        <v>#N/A</v>
      </c>
      <c r="V37" s="775" t="s">
        <v>17</v>
      </c>
      <c r="W37" s="776" t="e">
        <f t="shared" si="14"/>
        <v>#N/A</v>
      </c>
      <c r="X37" s="1816"/>
      <c r="Y37" s="3234"/>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32"/>
      <c r="Q38" s="1798" t="str">
        <f t="shared" si="11"/>
        <v>写字楼等级</v>
      </c>
      <c r="R38" s="771" t="s">
        <v>17</v>
      </c>
      <c r="S38" s="772">
        <f t="shared" si="12"/>
        <v>100</v>
      </c>
      <c r="T38" s="771" t="s">
        <v>17</v>
      </c>
      <c r="U38" s="772">
        <f t="shared" si="13"/>
        <v>100</v>
      </c>
      <c r="V38" s="771" t="s">
        <v>17</v>
      </c>
      <c r="W38" s="772">
        <f t="shared" si="14"/>
        <v>100</v>
      </c>
      <c r="X38" s="773"/>
      <c r="Y38" s="3234"/>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32" t="s">
        <v>2568</v>
      </c>
      <c r="Q39" s="1813" t="str">
        <f t="shared" si="11"/>
        <v>物业管理</v>
      </c>
      <c r="R39" s="775" t="s">
        <v>17</v>
      </c>
      <c r="S39" s="776">
        <f t="shared" si="12"/>
        <v>100</v>
      </c>
      <c r="T39" s="775" t="s">
        <v>17</v>
      </c>
      <c r="U39" s="776">
        <f t="shared" si="13"/>
        <v>100</v>
      </c>
      <c r="V39" s="775" t="s">
        <v>17</v>
      </c>
      <c r="W39" s="776">
        <f t="shared" si="14"/>
        <v>100</v>
      </c>
      <c r="X39" s="1816"/>
      <c r="Y39" s="3234"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32"/>
      <c r="Q40" s="1813" t="str">
        <f t="shared" si="11"/>
        <v>市政基础设施</v>
      </c>
      <c r="R40" s="775" t="s">
        <v>17</v>
      </c>
      <c r="S40" s="776">
        <f t="shared" si="12"/>
        <v>100</v>
      </c>
      <c r="T40" s="775" t="s">
        <v>17</v>
      </c>
      <c r="U40" s="776">
        <f t="shared" si="13"/>
        <v>100</v>
      </c>
      <c r="V40" s="775" t="s">
        <v>17</v>
      </c>
      <c r="W40" s="776">
        <f t="shared" si="14"/>
        <v>100</v>
      </c>
      <c r="X40" s="1816"/>
      <c r="Y40" s="3234"/>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32"/>
      <c r="Q41" s="1813" t="str">
        <f t="shared" si="11"/>
        <v>层高</v>
      </c>
      <c r="R41" s="775" t="s">
        <v>17</v>
      </c>
      <c r="S41" s="776">
        <f t="shared" si="12"/>
        <v>100</v>
      </c>
      <c r="T41" s="775" t="s">
        <v>17</v>
      </c>
      <c r="U41" s="776">
        <f t="shared" si="13"/>
        <v>100</v>
      </c>
      <c r="V41" s="775" t="s">
        <v>17</v>
      </c>
      <c r="W41" s="776">
        <f t="shared" si="14"/>
        <v>100</v>
      </c>
      <c r="X41" s="1816"/>
      <c r="Y41" s="3234"/>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32"/>
      <c r="Q42" s="777" t="str">
        <f t="shared" si="11"/>
        <v>单套建筑面积</v>
      </c>
      <c r="R42" s="778" t="s">
        <v>17</v>
      </c>
      <c r="S42" s="779">
        <f t="shared" si="12"/>
        <v>100</v>
      </c>
      <c r="T42" s="778" t="s">
        <v>17</v>
      </c>
      <c r="U42" s="779">
        <f t="shared" si="13"/>
        <v>100</v>
      </c>
      <c r="V42" s="778" t="s">
        <v>17</v>
      </c>
      <c r="W42" s="779">
        <f t="shared" si="14"/>
        <v>100</v>
      </c>
      <c r="X42" s="780"/>
      <c r="Y42" s="3234"/>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32"/>
      <c r="Q43" s="1813" t="str">
        <f t="shared" si="11"/>
        <v>内部装修</v>
      </c>
      <c r="R43" s="775" t="s">
        <v>17</v>
      </c>
      <c r="S43" s="776">
        <f t="shared" si="12"/>
        <v>100</v>
      </c>
      <c r="T43" s="775" t="s">
        <v>17</v>
      </c>
      <c r="U43" s="776">
        <f t="shared" si="13"/>
        <v>100</v>
      </c>
      <c r="V43" s="775" t="s">
        <v>17</v>
      </c>
      <c r="W43" s="776">
        <f t="shared" si="14"/>
        <v>100</v>
      </c>
      <c r="X43" s="1816"/>
      <c r="Y43" s="3234"/>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32"/>
      <c r="Q44" s="1813" t="str">
        <f t="shared" si="11"/>
        <v>内部装修维护情况</v>
      </c>
      <c r="R44" s="775" t="s">
        <v>17</v>
      </c>
      <c r="S44" s="776">
        <f t="shared" si="12"/>
        <v>100</v>
      </c>
      <c r="T44" s="775" t="s">
        <v>17</v>
      </c>
      <c r="U44" s="776">
        <f t="shared" si="13"/>
        <v>100</v>
      </c>
      <c r="V44" s="775" t="s">
        <v>17</v>
      </c>
      <c r="W44" s="776">
        <f t="shared" si="14"/>
        <v>100</v>
      </c>
      <c r="X44" s="1816"/>
      <c r="Y44" s="3234"/>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32"/>
      <c r="Q45" s="1798">
        <f t="shared" si="11"/>
        <v>111</v>
      </c>
      <c r="R45" s="771" t="s">
        <v>17</v>
      </c>
      <c r="S45" s="772">
        <f t="shared" si="12"/>
        <v>100</v>
      </c>
      <c r="T45" s="771" t="s">
        <v>17</v>
      </c>
      <c r="U45" s="772">
        <f t="shared" si="13"/>
        <v>100</v>
      </c>
      <c r="V45" s="771" t="s">
        <v>17</v>
      </c>
      <c r="W45" s="772">
        <f t="shared" si="14"/>
        <v>100</v>
      </c>
      <c r="X45" s="773"/>
      <c r="Y45" s="3234"/>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32"/>
      <c r="Q46" s="1813">
        <f t="shared" si="11"/>
        <v>111</v>
      </c>
      <c r="R46" s="775" t="s">
        <v>17</v>
      </c>
      <c r="S46" s="776">
        <f t="shared" si="12"/>
        <v>100</v>
      </c>
      <c r="T46" s="775" t="s">
        <v>17</v>
      </c>
      <c r="U46" s="776">
        <f t="shared" si="13"/>
        <v>100</v>
      </c>
      <c r="V46" s="775" t="s">
        <v>17</v>
      </c>
      <c r="W46" s="776">
        <f t="shared" si="14"/>
        <v>100</v>
      </c>
      <c r="X46" s="1816"/>
      <c r="Y46" s="3234"/>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33"/>
      <c r="Q47" s="1813">
        <f t="shared" si="11"/>
        <v>111</v>
      </c>
      <c r="R47" s="775" t="s">
        <v>17</v>
      </c>
      <c r="S47" s="776">
        <f t="shared" si="12"/>
        <v>100</v>
      </c>
      <c r="T47" s="775" t="s">
        <v>17</v>
      </c>
      <c r="U47" s="776">
        <f t="shared" si="13"/>
        <v>100</v>
      </c>
      <c r="V47" s="775" t="s">
        <v>17</v>
      </c>
      <c r="W47" s="776">
        <f t="shared" si="14"/>
        <v>100</v>
      </c>
      <c r="X47" s="1816"/>
      <c r="Y47" s="3235"/>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220" t="str">
        <f>A48</f>
        <v>成交单价（元/平方米）</v>
      </c>
      <c r="Q48" s="3236"/>
      <c r="R48" s="3237">
        <f>E48</f>
        <v>0</v>
      </c>
      <c r="S48" s="3237"/>
      <c r="T48" s="3237">
        <f>G48</f>
        <v>0</v>
      </c>
      <c r="U48" s="3237"/>
      <c r="V48" s="3237">
        <f>I48</f>
        <v>0</v>
      </c>
      <c r="W48" s="3237"/>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220"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196" t="s">
        <v>2651</v>
      </c>
      <c r="AC4" s="3195" t="s">
        <v>2652</v>
      </c>
    </row>
    <row r="5" spans="1:29"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196"/>
      <c r="AC5" s="3196"/>
    </row>
    <row r="6" spans="1:29" ht="15.75" thickBot="1">
      <c r="A6" s="407"/>
      <c r="B6" s="408"/>
      <c r="C6" s="3214" t="s">
        <v>2549</v>
      </c>
      <c r="D6" s="3215"/>
      <c r="E6" s="3216" t="s">
        <v>2549</v>
      </c>
      <c r="F6" s="3217"/>
      <c r="G6" s="3214" t="s">
        <v>2549</v>
      </c>
      <c r="H6" s="3215"/>
      <c r="I6" s="3214" t="s">
        <v>2549</v>
      </c>
      <c r="J6" s="3215"/>
      <c r="K6" s="611" t="s">
        <v>2550</v>
      </c>
      <c r="L6" s="1133"/>
      <c r="M6" s="1134"/>
      <c r="N6" s="1134"/>
      <c r="O6" s="1134"/>
      <c r="P6" s="3206"/>
      <c r="Q6" s="3207"/>
      <c r="R6" s="3210"/>
      <c r="S6" s="3211"/>
      <c r="T6" s="3221"/>
      <c r="U6" s="3222"/>
      <c r="V6" s="3223"/>
      <c r="W6" s="3223"/>
      <c r="X6" s="1816"/>
      <c r="Y6" s="3221"/>
      <c r="Z6" s="3222"/>
      <c r="AA6" s="3197"/>
      <c r="AB6" s="3197"/>
      <c r="AC6" s="3197"/>
    </row>
    <row r="7" spans="1:29" s="117" customFormat="1" ht="15.75" thickBot="1">
      <c r="A7" s="409" t="s">
        <v>2551</v>
      </c>
      <c r="B7" s="410"/>
      <c r="C7" s="411">
        <f>'数据-取费表'!B2</f>
        <v>43017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24" t="s">
        <v>2552</v>
      </c>
      <c r="Q7" s="3225"/>
      <c r="R7" s="771" t="s">
        <v>17</v>
      </c>
      <c r="S7" s="772">
        <f t="shared" ref="S7:S15" si="0">F7</f>
        <v>0</v>
      </c>
      <c r="T7" s="771" t="s">
        <v>17</v>
      </c>
      <c r="U7" s="772">
        <f t="shared" ref="U7:U15" si="1">H7</f>
        <v>0</v>
      </c>
      <c r="V7" s="771" t="s">
        <v>17</v>
      </c>
      <c r="W7" s="772">
        <f t="shared" ref="W7:W15" si="2">J7</f>
        <v>0</v>
      </c>
      <c r="X7" s="773"/>
      <c r="Y7" s="3224" t="s">
        <v>2552</v>
      </c>
      <c r="Z7" s="3226"/>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36"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36"/>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36"/>
      <c r="Q11" s="1798" t="str">
        <f t="shared" si="6"/>
        <v>容积率</v>
      </c>
      <c r="R11" s="771" t="s">
        <v>17</v>
      </c>
      <c r="S11" s="772" t="e">
        <f t="shared" si="0"/>
        <v>#N/A</v>
      </c>
      <c r="T11" s="771" t="s">
        <v>17</v>
      </c>
      <c r="U11" s="772" t="e">
        <f t="shared" si="1"/>
        <v>#N/A</v>
      </c>
      <c r="V11" s="771" t="s">
        <v>17</v>
      </c>
      <c r="W11" s="772" t="e">
        <f t="shared" si="2"/>
        <v>#N/A</v>
      </c>
      <c r="X11" s="773"/>
      <c r="Y11" s="302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236"/>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236"/>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236"/>
      <c r="Q14" s="1798">
        <f t="shared" si="6"/>
        <v>111</v>
      </c>
      <c r="R14" s="771" t="s">
        <v>17</v>
      </c>
      <c r="S14" s="772">
        <f t="shared" si="0"/>
        <v>100</v>
      </c>
      <c r="T14" s="771" t="s">
        <v>17</v>
      </c>
      <c r="U14" s="772">
        <f t="shared" si="1"/>
        <v>100</v>
      </c>
      <c r="V14" s="771" t="s">
        <v>17</v>
      </c>
      <c r="W14" s="772">
        <f t="shared" si="2"/>
        <v>100</v>
      </c>
      <c r="X14" s="773"/>
      <c r="Y14" s="3023"/>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29" t="s">
        <v>2563</v>
      </c>
      <c r="Q15" s="1813" t="str">
        <f t="shared" si="6"/>
        <v>产业集聚程度</v>
      </c>
      <c r="R15" s="775" t="s">
        <v>17</v>
      </c>
      <c r="S15" s="776">
        <f t="shared" si="0"/>
        <v>100</v>
      </c>
      <c r="T15" s="775" t="s">
        <v>17</v>
      </c>
      <c r="U15" s="776">
        <f t="shared" si="1"/>
        <v>100</v>
      </c>
      <c r="V15" s="775" t="s">
        <v>17</v>
      </c>
      <c r="W15" s="776">
        <f t="shared" si="2"/>
        <v>100</v>
      </c>
      <c r="X15" s="1816"/>
      <c r="Y15" s="3229"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30"/>
      <c r="Q16" s="1813"/>
      <c r="R16" s="775"/>
      <c r="S16" s="776"/>
      <c r="T16" s="775"/>
      <c r="U16" s="776"/>
      <c r="V16" s="775"/>
      <c r="W16" s="776"/>
      <c r="X16" s="1816"/>
      <c r="Y16" s="3230"/>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30"/>
      <c r="Q17" s="1813" t="str">
        <f>B17</f>
        <v>交通便捷度</v>
      </c>
      <c r="R17" s="775" t="s">
        <v>17</v>
      </c>
      <c r="S17" s="776">
        <f>F17</f>
        <v>100</v>
      </c>
      <c r="T17" s="775" t="s">
        <v>17</v>
      </c>
      <c r="U17" s="776">
        <f>H17</f>
        <v>100</v>
      </c>
      <c r="V17" s="775" t="s">
        <v>17</v>
      </c>
      <c r="W17" s="776">
        <f>J17</f>
        <v>100</v>
      </c>
      <c r="X17" s="1816"/>
      <c r="Y17" s="3230"/>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30"/>
      <c r="Q18" s="1813"/>
      <c r="R18" s="775"/>
      <c r="S18" s="776"/>
      <c r="T18" s="775"/>
      <c r="U18" s="776"/>
      <c r="V18" s="775"/>
      <c r="W18" s="776"/>
      <c r="X18" s="1816"/>
      <c r="Y18" s="3230"/>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30"/>
      <c r="Q19" s="1813" t="str">
        <f>B19</f>
        <v>公共配套设施</v>
      </c>
      <c r="R19" s="775" t="s">
        <v>17</v>
      </c>
      <c r="S19" s="776">
        <f>F19</f>
        <v>100</v>
      </c>
      <c r="T19" s="775" t="s">
        <v>17</v>
      </c>
      <c r="U19" s="776">
        <f>H19</f>
        <v>100</v>
      </c>
      <c r="V19" s="775" t="s">
        <v>17</v>
      </c>
      <c r="W19" s="776">
        <f>J19</f>
        <v>100</v>
      </c>
      <c r="X19" s="1816"/>
      <c r="Y19" s="3230"/>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30"/>
      <c r="Q20" s="1813"/>
      <c r="R20" s="775"/>
      <c r="S20" s="776"/>
      <c r="T20" s="775"/>
      <c r="U20" s="776"/>
      <c r="V20" s="775"/>
      <c r="W20" s="776"/>
      <c r="X20" s="1816"/>
      <c r="Y20" s="3230"/>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30"/>
      <c r="Q21" s="1813" t="str">
        <f>B21</f>
        <v>基础设施水平</v>
      </c>
      <c r="R21" s="775" t="s">
        <v>17</v>
      </c>
      <c r="S21" s="776">
        <f>F21</f>
        <v>100</v>
      </c>
      <c r="T21" s="775" t="s">
        <v>17</v>
      </c>
      <c r="U21" s="776">
        <f>H21</f>
        <v>100</v>
      </c>
      <c r="V21" s="775" t="s">
        <v>17</v>
      </c>
      <c r="W21" s="776">
        <f>J21</f>
        <v>100</v>
      </c>
      <c r="X21" s="1816"/>
      <c r="Y21" s="3230"/>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30"/>
      <c r="Q22" s="1813"/>
      <c r="R22" s="775"/>
      <c r="S22" s="776"/>
      <c r="T22" s="775"/>
      <c r="U22" s="776"/>
      <c r="V22" s="775"/>
      <c r="W22" s="776"/>
      <c r="X22" s="1816"/>
      <c r="Y22" s="3230"/>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30"/>
      <c r="Q23" s="1813" t="str">
        <f>B23</f>
        <v>环境质量</v>
      </c>
      <c r="R23" s="775" t="s">
        <v>17</v>
      </c>
      <c r="S23" s="776">
        <f>F23</f>
        <v>100</v>
      </c>
      <c r="T23" s="775" t="s">
        <v>17</v>
      </c>
      <c r="U23" s="776">
        <f>H23</f>
        <v>100</v>
      </c>
      <c r="V23" s="775" t="s">
        <v>17</v>
      </c>
      <c r="W23" s="776">
        <f>J23</f>
        <v>100</v>
      </c>
      <c r="X23" s="1816"/>
      <c r="Y23" s="3230"/>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30"/>
      <c r="Q24" s="1813"/>
      <c r="R24" s="775"/>
      <c r="S24" s="776"/>
      <c r="T24" s="775"/>
      <c r="U24" s="776"/>
      <c r="V24" s="775"/>
      <c r="W24" s="776"/>
      <c r="X24" s="1816"/>
      <c r="Y24" s="3230"/>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30"/>
      <c r="Q25" s="1813">
        <f>B25</f>
        <v>111</v>
      </c>
      <c r="R25" s="775" t="s">
        <v>17</v>
      </c>
      <c r="S25" s="776">
        <f>F25</f>
        <v>100</v>
      </c>
      <c r="T25" s="775" t="s">
        <v>17</v>
      </c>
      <c r="U25" s="776">
        <f>H25</f>
        <v>100</v>
      </c>
      <c r="V25" s="775" t="s">
        <v>17</v>
      </c>
      <c r="W25" s="776">
        <f>J25</f>
        <v>100</v>
      </c>
      <c r="X25" s="1816"/>
      <c r="Y25" s="3230"/>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30"/>
      <c r="Q26" s="1813">
        <f t="shared" ref="Q26:Q40" si="11">B26</f>
        <v>111</v>
      </c>
      <c r="R26" s="775" t="s">
        <v>17</v>
      </c>
      <c r="S26" s="776">
        <f>F26</f>
        <v>100</v>
      </c>
      <c r="T26" s="775" t="s">
        <v>17</v>
      </c>
      <c r="U26" s="776">
        <f>H26</f>
        <v>100</v>
      </c>
      <c r="V26" s="775" t="s">
        <v>17</v>
      </c>
      <c r="W26" s="776">
        <f>J26</f>
        <v>100</v>
      </c>
      <c r="X26" s="1816"/>
      <c r="Y26" s="3230"/>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30"/>
      <c r="Q27" s="1798">
        <f t="shared" si="11"/>
        <v>111</v>
      </c>
      <c r="R27" s="771" t="s">
        <v>17</v>
      </c>
      <c r="S27" s="772">
        <f>F27</f>
        <v>100</v>
      </c>
      <c r="T27" s="771" t="s">
        <v>17</v>
      </c>
      <c r="U27" s="772">
        <f>H27</f>
        <v>100</v>
      </c>
      <c r="V27" s="771" t="s">
        <v>17</v>
      </c>
      <c r="W27" s="772">
        <f>J27</f>
        <v>100</v>
      </c>
      <c r="X27" s="773"/>
      <c r="Y27" s="3230"/>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30"/>
      <c r="Q28" s="1813">
        <f t="shared" si="11"/>
        <v>111</v>
      </c>
      <c r="R28" s="775" t="s">
        <v>17</v>
      </c>
      <c r="S28" s="776">
        <f t="shared" ref="S28:S40" si="12">F28</f>
        <v>100</v>
      </c>
      <c r="T28" s="775" t="s">
        <v>17</v>
      </c>
      <c r="U28" s="776">
        <f t="shared" ref="U28:U40" si="13">H28</f>
        <v>100</v>
      </c>
      <c r="V28" s="775" t="s">
        <v>17</v>
      </c>
      <c r="W28" s="776">
        <f t="shared" ref="W28:W40" si="14">J28</f>
        <v>100</v>
      </c>
      <c r="X28" s="1816"/>
      <c r="Y28" s="3230"/>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58" t="s">
        <v>2568</v>
      </c>
      <c r="Q29" s="1813" t="str">
        <f t="shared" si="11"/>
        <v>建筑类型</v>
      </c>
      <c r="R29" s="775" t="s">
        <v>17</v>
      </c>
      <c r="S29" s="776">
        <f t="shared" si="12"/>
        <v>100</v>
      </c>
      <c r="T29" s="775" t="s">
        <v>17</v>
      </c>
      <c r="U29" s="776">
        <f t="shared" si="13"/>
        <v>100</v>
      </c>
      <c r="V29" s="775" t="s">
        <v>17</v>
      </c>
      <c r="W29" s="776">
        <f t="shared" si="14"/>
        <v>100</v>
      </c>
      <c r="X29" s="1816"/>
      <c r="Y29" s="3234"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34"/>
      <c r="Q30" s="777" t="str">
        <f t="shared" si="11"/>
        <v>项目建筑规模</v>
      </c>
      <c r="R30" s="778" t="s">
        <v>17</v>
      </c>
      <c r="S30" s="779" t="e">
        <f t="shared" si="12"/>
        <v>#N/A</v>
      </c>
      <c r="T30" s="778" t="s">
        <v>17</v>
      </c>
      <c r="U30" s="779" t="e">
        <f t="shared" si="13"/>
        <v>#N/A</v>
      </c>
      <c r="V30" s="778" t="s">
        <v>17</v>
      </c>
      <c r="W30" s="779" t="e">
        <f t="shared" si="14"/>
        <v>#N/A</v>
      </c>
      <c r="X30" s="780"/>
      <c r="Y30" s="3234"/>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34"/>
      <c r="Q31" s="1813" t="str">
        <f t="shared" si="11"/>
        <v>建筑结构</v>
      </c>
      <c r="R31" s="775" t="s">
        <v>17</v>
      </c>
      <c r="S31" s="776">
        <f t="shared" si="12"/>
        <v>100</v>
      </c>
      <c r="T31" s="775" t="s">
        <v>17</v>
      </c>
      <c r="U31" s="776">
        <f t="shared" si="13"/>
        <v>100</v>
      </c>
      <c r="V31" s="775" t="s">
        <v>17</v>
      </c>
      <c r="W31" s="776">
        <f t="shared" si="14"/>
        <v>100</v>
      </c>
      <c r="X31" s="1816"/>
      <c r="Y31" s="3234"/>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34"/>
      <c r="Q32" s="1813" t="str">
        <f t="shared" si="11"/>
        <v>公共部分装修</v>
      </c>
      <c r="R32" s="775" t="s">
        <v>17</v>
      </c>
      <c r="S32" s="776">
        <f t="shared" si="12"/>
        <v>100</v>
      </c>
      <c r="T32" s="775" t="s">
        <v>17</v>
      </c>
      <c r="U32" s="776">
        <f t="shared" si="13"/>
        <v>100</v>
      </c>
      <c r="V32" s="775" t="s">
        <v>17</v>
      </c>
      <c r="W32" s="776">
        <f t="shared" si="14"/>
        <v>100</v>
      </c>
      <c r="X32" s="1816"/>
      <c r="Y32" s="3234"/>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34"/>
      <c r="Q33" s="1813" t="str">
        <f t="shared" si="11"/>
        <v>成新度</v>
      </c>
      <c r="R33" s="775" t="s">
        <v>17</v>
      </c>
      <c r="S33" s="776" t="e">
        <f t="shared" si="12"/>
        <v>#N/A</v>
      </c>
      <c r="T33" s="775" t="s">
        <v>17</v>
      </c>
      <c r="U33" s="776" t="e">
        <f t="shared" si="13"/>
        <v>#N/A</v>
      </c>
      <c r="V33" s="775" t="s">
        <v>17</v>
      </c>
      <c r="W33" s="776" t="e">
        <f t="shared" si="14"/>
        <v>#N/A</v>
      </c>
      <c r="X33" s="1816"/>
      <c r="Y33" s="3234"/>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34"/>
      <c r="Q34" s="1798" t="str">
        <f t="shared" si="11"/>
        <v>物业管理</v>
      </c>
      <c r="R34" s="771" t="s">
        <v>17</v>
      </c>
      <c r="S34" s="772">
        <f t="shared" si="12"/>
        <v>100</v>
      </c>
      <c r="T34" s="771" t="s">
        <v>17</v>
      </c>
      <c r="U34" s="772">
        <f t="shared" si="13"/>
        <v>100</v>
      </c>
      <c r="V34" s="771" t="s">
        <v>17</v>
      </c>
      <c r="W34" s="772">
        <f t="shared" si="14"/>
        <v>100</v>
      </c>
      <c r="X34" s="773"/>
      <c r="Y34" s="3234"/>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34" t="s">
        <v>2568</v>
      </c>
      <c r="Q35" s="1813" t="str">
        <f t="shared" si="11"/>
        <v>市政基础设施</v>
      </c>
      <c r="R35" s="775" t="s">
        <v>17</v>
      </c>
      <c r="S35" s="776">
        <f t="shared" si="12"/>
        <v>100</v>
      </c>
      <c r="T35" s="775" t="s">
        <v>17</v>
      </c>
      <c r="U35" s="776">
        <f t="shared" si="13"/>
        <v>100</v>
      </c>
      <c r="V35" s="775" t="s">
        <v>17</v>
      </c>
      <c r="W35" s="776">
        <f t="shared" si="14"/>
        <v>100</v>
      </c>
      <c r="X35" s="1816"/>
      <c r="Y35" s="3234"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34"/>
      <c r="Q36" s="1813" t="str">
        <f t="shared" si="11"/>
        <v>内部装修</v>
      </c>
      <c r="R36" s="775" t="s">
        <v>17</v>
      </c>
      <c r="S36" s="776">
        <f t="shared" si="12"/>
        <v>100</v>
      </c>
      <c r="T36" s="775" t="s">
        <v>17</v>
      </c>
      <c r="U36" s="776">
        <f t="shared" si="13"/>
        <v>100</v>
      </c>
      <c r="V36" s="775" t="s">
        <v>17</v>
      </c>
      <c r="W36" s="776">
        <f t="shared" si="14"/>
        <v>100</v>
      </c>
      <c r="X36" s="1816"/>
      <c r="Y36" s="3234"/>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34"/>
      <c r="Q37" s="1813" t="str">
        <f t="shared" si="11"/>
        <v>内部装修状况</v>
      </c>
      <c r="R37" s="775" t="s">
        <v>17</v>
      </c>
      <c r="S37" s="776">
        <f t="shared" si="12"/>
        <v>100</v>
      </c>
      <c r="T37" s="775" t="s">
        <v>17</v>
      </c>
      <c r="U37" s="776">
        <f t="shared" si="13"/>
        <v>100</v>
      </c>
      <c r="V37" s="775" t="s">
        <v>17</v>
      </c>
      <c r="W37" s="776">
        <f t="shared" si="14"/>
        <v>100</v>
      </c>
      <c r="X37" s="1816"/>
      <c r="Y37" s="3234"/>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34"/>
      <c r="Q38" s="777">
        <f t="shared" si="11"/>
        <v>111</v>
      </c>
      <c r="R38" s="778" t="s">
        <v>17</v>
      </c>
      <c r="S38" s="779">
        <f t="shared" si="12"/>
        <v>100</v>
      </c>
      <c r="T38" s="778" t="s">
        <v>17</v>
      </c>
      <c r="U38" s="779">
        <f t="shared" si="13"/>
        <v>100</v>
      </c>
      <c r="V38" s="778" t="s">
        <v>17</v>
      </c>
      <c r="W38" s="779">
        <f t="shared" si="14"/>
        <v>100</v>
      </c>
      <c r="X38" s="780"/>
      <c r="Y38" s="3234"/>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34"/>
      <c r="Q39" s="1813">
        <f t="shared" si="11"/>
        <v>111</v>
      </c>
      <c r="R39" s="775" t="s">
        <v>17</v>
      </c>
      <c r="S39" s="776">
        <f t="shared" si="12"/>
        <v>100</v>
      </c>
      <c r="T39" s="775" t="s">
        <v>17</v>
      </c>
      <c r="U39" s="776">
        <f t="shared" si="13"/>
        <v>100</v>
      </c>
      <c r="V39" s="775" t="s">
        <v>17</v>
      </c>
      <c r="W39" s="776">
        <f t="shared" si="14"/>
        <v>100</v>
      </c>
      <c r="X39" s="1816"/>
      <c r="Y39" s="3234"/>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35"/>
      <c r="Q40" s="1813">
        <f t="shared" si="11"/>
        <v>111</v>
      </c>
      <c r="R40" s="775" t="s">
        <v>17</v>
      </c>
      <c r="S40" s="776">
        <f t="shared" si="12"/>
        <v>100</v>
      </c>
      <c r="T40" s="775" t="s">
        <v>17</v>
      </c>
      <c r="U40" s="776">
        <f t="shared" si="13"/>
        <v>100</v>
      </c>
      <c r="V40" s="775" t="s">
        <v>17</v>
      </c>
      <c r="W40" s="776">
        <f t="shared" si="14"/>
        <v>100</v>
      </c>
      <c r="X40" s="1816"/>
      <c r="Y40" s="3235"/>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236" t="str">
        <f>A41</f>
        <v>成交单价（元/平方米）</v>
      </c>
      <c r="Q41" s="3236"/>
      <c r="R41" s="3237">
        <f>E41</f>
        <v>0</v>
      </c>
      <c r="S41" s="3237"/>
      <c r="T41" s="3237">
        <f>G41</f>
        <v>0</v>
      </c>
      <c r="U41" s="3237"/>
      <c r="V41" s="3237">
        <f>I41</f>
        <v>0</v>
      </c>
      <c r="W41" s="3237"/>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238" t="str">
        <f>A43</f>
        <v>估价对象XX用房的比较价值（楼面单价，元/平方米）</v>
      </c>
      <c r="Q43" s="3239"/>
      <c r="R43" s="3240" t="e">
        <f>IF(F1="售价",ROUND(AVERAGE(R42:V42),0),ROUND(AVERAGE(R42:V42),1))</f>
        <v>#DIV/0!</v>
      </c>
      <c r="S43" s="3240"/>
      <c r="T43" s="3240"/>
      <c r="U43" s="3240"/>
      <c r="V43" s="3240"/>
      <c r="W43" s="3240"/>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196" t="s">
        <v>2651</v>
      </c>
      <c r="AC4" s="3195" t="s">
        <v>2652</v>
      </c>
    </row>
    <row r="5" spans="1:29"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196"/>
      <c r="AC5" s="3196"/>
    </row>
    <row r="6" spans="1:29" ht="15.75" thickBot="1">
      <c r="A6" s="407"/>
      <c r="B6" s="408"/>
      <c r="C6" s="3214" t="s">
        <v>2549</v>
      </c>
      <c r="D6" s="3215"/>
      <c r="E6" s="3216" t="s">
        <v>2549</v>
      </c>
      <c r="F6" s="3217"/>
      <c r="G6" s="3214" t="s">
        <v>2549</v>
      </c>
      <c r="H6" s="3215"/>
      <c r="I6" s="3214" t="s">
        <v>2549</v>
      </c>
      <c r="J6" s="3215"/>
      <c r="K6" s="611" t="s">
        <v>2550</v>
      </c>
      <c r="L6" s="1133"/>
      <c r="M6" s="1134"/>
      <c r="N6" s="1134"/>
      <c r="O6" s="1134"/>
      <c r="P6" s="3206"/>
      <c r="Q6" s="3207"/>
      <c r="R6" s="3210"/>
      <c r="S6" s="3211"/>
      <c r="T6" s="3221"/>
      <c r="U6" s="3222"/>
      <c r="V6" s="3223"/>
      <c r="W6" s="3223"/>
      <c r="X6" s="1816"/>
      <c r="Y6" s="3221"/>
      <c r="Z6" s="3222"/>
      <c r="AA6" s="3197"/>
      <c r="AB6" s="3197"/>
      <c r="AC6" s="3197"/>
    </row>
    <row r="7" spans="1:29" s="117" customFormat="1" ht="15.75" thickBot="1">
      <c r="A7" s="409" t="s">
        <v>2551</v>
      </c>
      <c r="B7" s="410"/>
      <c r="C7" s="411">
        <f>'数据-取费表'!B2</f>
        <v>43017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24" t="s">
        <v>2552</v>
      </c>
      <c r="Q7" s="3225"/>
      <c r="R7" s="771" t="s">
        <v>17</v>
      </c>
      <c r="S7" s="772">
        <f t="shared" ref="S7:S14" si="0">F7</f>
        <v>0</v>
      </c>
      <c r="T7" s="771" t="s">
        <v>17</v>
      </c>
      <c r="U7" s="772">
        <f t="shared" ref="U7:U14" si="1">H7</f>
        <v>0</v>
      </c>
      <c r="V7" s="771" t="s">
        <v>17</v>
      </c>
      <c r="W7" s="772">
        <f t="shared" ref="W7:W14" si="2">J7</f>
        <v>0</v>
      </c>
      <c r="X7" s="773"/>
      <c r="Y7" s="3224" t="s">
        <v>2552</v>
      </c>
      <c r="Z7" s="3226"/>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36" t="s">
        <v>2558</v>
      </c>
      <c r="Q9" s="1798" t="str">
        <f t="shared" ref="Q9:Q14" si="6">B9</f>
        <v>用途</v>
      </c>
      <c r="R9" s="771" t="s">
        <v>17</v>
      </c>
      <c r="S9" s="772">
        <f t="shared" si="0"/>
        <v>100</v>
      </c>
      <c r="T9" s="771" t="s">
        <v>17</v>
      </c>
      <c r="U9" s="772">
        <f t="shared" si="1"/>
        <v>100</v>
      </c>
      <c r="V9" s="771" t="s">
        <v>17</v>
      </c>
      <c r="W9" s="772">
        <f t="shared" si="2"/>
        <v>100</v>
      </c>
      <c r="X9" s="773"/>
      <c r="Y9" s="3023"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36"/>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36"/>
      <c r="Q11" s="1798">
        <f t="shared" si="6"/>
        <v>111</v>
      </c>
      <c r="R11" s="771" t="s">
        <v>17</v>
      </c>
      <c r="S11" s="772">
        <f t="shared" si="0"/>
        <v>100</v>
      </c>
      <c r="T11" s="771" t="s">
        <v>17</v>
      </c>
      <c r="U11" s="772">
        <f t="shared" si="1"/>
        <v>100</v>
      </c>
      <c r="V11" s="771" t="s">
        <v>17</v>
      </c>
      <c r="W11" s="772">
        <f t="shared" si="2"/>
        <v>100</v>
      </c>
      <c r="X11" s="773"/>
      <c r="Y11" s="302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36"/>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36"/>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29" t="s">
        <v>2563</v>
      </c>
      <c r="Q14" s="1813" t="str">
        <f t="shared" si="6"/>
        <v>交通便捷度</v>
      </c>
      <c r="R14" s="775" t="s">
        <v>17</v>
      </c>
      <c r="S14" s="776">
        <f t="shared" si="0"/>
        <v>100</v>
      </c>
      <c r="T14" s="775" t="s">
        <v>17</v>
      </c>
      <c r="U14" s="776">
        <f t="shared" si="1"/>
        <v>100</v>
      </c>
      <c r="V14" s="775" t="s">
        <v>17</v>
      </c>
      <c r="W14" s="776">
        <f t="shared" si="2"/>
        <v>100</v>
      </c>
      <c r="X14" s="1816"/>
      <c r="Y14" s="3229"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30"/>
      <c r="Q15" s="1813"/>
      <c r="R15" s="775"/>
      <c r="S15" s="776"/>
      <c r="T15" s="775"/>
      <c r="U15" s="776"/>
      <c r="V15" s="775"/>
      <c r="W15" s="776"/>
      <c r="X15" s="1816"/>
      <c r="Y15" s="3230"/>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30"/>
      <c r="Q16" s="1813" t="str">
        <f>B16</f>
        <v>公共配套设施</v>
      </c>
      <c r="R16" s="775" t="s">
        <v>17</v>
      </c>
      <c r="S16" s="776">
        <f>F16</f>
        <v>100</v>
      </c>
      <c r="T16" s="775" t="s">
        <v>17</v>
      </c>
      <c r="U16" s="776">
        <f>H16</f>
        <v>100</v>
      </c>
      <c r="V16" s="775" t="s">
        <v>17</v>
      </c>
      <c r="W16" s="776">
        <f>J16</f>
        <v>100</v>
      </c>
      <c r="X16" s="1816"/>
      <c r="Y16" s="3230"/>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30"/>
      <c r="Q17" s="1813"/>
      <c r="R17" s="775"/>
      <c r="S17" s="776"/>
      <c r="T17" s="775"/>
      <c r="U17" s="776"/>
      <c r="V17" s="775"/>
      <c r="W17" s="776"/>
      <c r="X17" s="1816"/>
      <c r="Y17" s="3230"/>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30"/>
      <c r="Q18" s="1813" t="str">
        <f>B18</f>
        <v>基础设施水平</v>
      </c>
      <c r="R18" s="775" t="s">
        <v>17</v>
      </c>
      <c r="S18" s="776">
        <f>F18</f>
        <v>100</v>
      </c>
      <c r="T18" s="775" t="s">
        <v>17</v>
      </c>
      <c r="U18" s="776">
        <f>H18</f>
        <v>100</v>
      </c>
      <c r="V18" s="775" t="s">
        <v>17</v>
      </c>
      <c r="W18" s="776">
        <f>J18</f>
        <v>100</v>
      </c>
      <c r="X18" s="1816"/>
      <c r="Y18" s="3230"/>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30"/>
      <c r="Q19" s="1813"/>
      <c r="R19" s="775"/>
      <c r="S19" s="776"/>
      <c r="T19" s="775"/>
      <c r="U19" s="776"/>
      <c r="V19" s="775"/>
      <c r="W19" s="776"/>
      <c r="X19" s="1816"/>
      <c r="Y19" s="3230"/>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30"/>
      <c r="Q20" s="1813" t="str">
        <f>B20</f>
        <v>自然及人文环境</v>
      </c>
      <c r="R20" s="775" t="s">
        <v>17</v>
      </c>
      <c r="S20" s="776">
        <f>F20</f>
        <v>100</v>
      </c>
      <c r="T20" s="775" t="s">
        <v>17</v>
      </c>
      <c r="U20" s="776">
        <f>H20</f>
        <v>100</v>
      </c>
      <c r="V20" s="775" t="s">
        <v>17</v>
      </c>
      <c r="W20" s="776">
        <f>J20</f>
        <v>100</v>
      </c>
      <c r="X20" s="1816"/>
      <c r="Y20" s="3230"/>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30"/>
      <c r="Q21" s="1813"/>
      <c r="R21" s="775"/>
      <c r="S21" s="776"/>
      <c r="T21" s="775"/>
      <c r="U21" s="776"/>
      <c r="V21" s="775"/>
      <c r="W21" s="776"/>
      <c r="X21" s="1816"/>
      <c r="Y21" s="3230"/>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30"/>
      <c r="Q22" s="1813" t="str">
        <f>B22</f>
        <v>楼层</v>
      </c>
      <c r="R22" s="775" t="s">
        <v>17</v>
      </c>
      <c r="S22" s="776">
        <f>F22</f>
        <v>100</v>
      </c>
      <c r="T22" s="775" t="s">
        <v>17</v>
      </c>
      <c r="U22" s="776">
        <f>H22</f>
        <v>100</v>
      </c>
      <c r="V22" s="775" t="s">
        <v>17</v>
      </c>
      <c r="W22" s="776">
        <f>J22</f>
        <v>100</v>
      </c>
      <c r="X22" s="1816"/>
      <c r="Y22" s="3230"/>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30"/>
      <c r="Q23" s="1813">
        <f>B23</f>
        <v>111</v>
      </c>
      <c r="R23" s="775" t="s">
        <v>17</v>
      </c>
      <c r="S23" s="776">
        <f>F23</f>
        <v>100</v>
      </c>
      <c r="T23" s="775" t="s">
        <v>17</v>
      </c>
      <c r="U23" s="776">
        <f>H23</f>
        <v>100</v>
      </c>
      <c r="V23" s="775" t="s">
        <v>17</v>
      </c>
      <c r="W23" s="776">
        <f>J23</f>
        <v>100</v>
      </c>
      <c r="X23" s="1816"/>
      <c r="Y23" s="3230"/>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30"/>
      <c r="Q24" s="1813">
        <f t="shared" ref="Q24:Q36" si="11">B24</f>
        <v>111</v>
      </c>
      <c r="R24" s="775" t="s">
        <v>17</v>
      </c>
      <c r="S24" s="776">
        <f>F24</f>
        <v>100</v>
      </c>
      <c r="T24" s="775" t="s">
        <v>17</v>
      </c>
      <c r="U24" s="776">
        <f>H24</f>
        <v>100</v>
      </c>
      <c r="V24" s="775" t="s">
        <v>17</v>
      </c>
      <c r="W24" s="776">
        <f>J24</f>
        <v>100</v>
      </c>
      <c r="X24" s="1816"/>
      <c r="Y24" s="3230"/>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30"/>
      <c r="Q25" s="1798">
        <f t="shared" si="11"/>
        <v>111</v>
      </c>
      <c r="R25" s="771" t="s">
        <v>17</v>
      </c>
      <c r="S25" s="772">
        <f>F25</f>
        <v>100</v>
      </c>
      <c r="T25" s="771" t="s">
        <v>17</v>
      </c>
      <c r="U25" s="772">
        <f>H25</f>
        <v>100</v>
      </c>
      <c r="V25" s="771" t="s">
        <v>17</v>
      </c>
      <c r="W25" s="772">
        <f>J25</f>
        <v>100</v>
      </c>
      <c r="X25" s="773"/>
      <c r="Y25" s="3230"/>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58"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34"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34"/>
      <c r="Q27" s="777" t="str">
        <f t="shared" si="11"/>
        <v>项目停车位配比</v>
      </c>
      <c r="R27" s="778" t="s">
        <v>17</v>
      </c>
      <c r="S27" s="779">
        <f t="shared" si="12"/>
        <v>100</v>
      </c>
      <c r="T27" s="778" t="s">
        <v>17</v>
      </c>
      <c r="U27" s="779">
        <f t="shared" si="13"/>
        <v>100</v>
      </c>
      <c r="V27" s="778" t="s">
        <v>17</v>
      </c>
      <c r="W27" s="779">
        <f t="shared" si="14"/>
        <v>100</v>
      </c>
      <c r="X27" s="780"/>
      <c r="Y27" s="3234"/>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34"/>
      <c r="Q28" s="1813" t="str">
        <f t="shared" si="11"/>
        <v>公共部分装修</v>
      </c>
      <c r="R28" s="775" t="s">
        <v>17</v>
      </c>
      <c r="S28" s="776">
        <f t="shared" si="12"/>
        <v>100</v>
      </c>
      <c r="T28" s="775" t="s">
        <v>17</v>
      </c>
      <c r="U28" s="776">
        <f t="shared" si="13"/>
        <v>100</v>
      </c>
      <c r="V28" s="775" t="s">
        <v>17</v>
      </c>
      <c r="W28" s="776">
        <f t="shared" si="14"/>
        <v>100</v>
      </c>
      <c r="X28" s="1816"/>
      <c r="Y28" s="3234"/>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34"/>
      <c r="Q29" s="1813" t="str">
        <f t="shared" si="11"/>
        <v>成新率</v>
      </c>
      <c r="R29" s="775" t="s">
        <v>17</v>
      </c>
      <c r="S29" s="776" t="e">
        <f t="shared" si="12"/>
        <v>#N/A</v>
      </c>
      <c r="T29" s="775" t="s">
        <v>17</v>
      </c>
      <c r="U29" s="776" t="e">
        <f t="shared" si="13"/>
        <v>#N/A</v>
      </c>
      <c r="V29" s="775" t="s">
        <v>17</v>
      </c>
      <c r="W29" s="776" t="e">
        <f t="shared" si="14"/>
        <v>#N/A</v>
      </c>
      <c r="X29" s="1816"/>
      <c r="Y29" s="3234"/>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34"/>
      <c r="Q30" s="1813" t="str">
        <f t="shared" si="11"/>
        <v>物业等级</v>
      </c>
      <c r="R30" s="775" t="s">
        <v>17</v>
      </c>
      <c r="S30" s="776">
        <f t="shared" si="12"/>
        <v>100</v>
      </c>
      <c r="T30" s="775" t="s">
        <v>17</v>
      </c>
      <c r="U30" s="776">
        <f t="shared" si="13"/>
        <v>100</v>
      </c>
      <c r="V30" s="775" t="s">
        <v>17</v>
      </c>
      <c r="W30" s="776">
        <f t="shared" si="14"/>
        <v>100</v>
      </c>
      <c r="X30" s="1816"/>
      <c r="Y30" s="3234"/>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34"/>
      <c r="Q31" s="1798" t="str">
        <f t="shared" si="11"/>
        <v>停车位面积</v>
      </c>
      <c r="R31" s="771" t="s">
        <v>17</v>
      </c>
      <c r="S31" s="772" t="e">
        <f t="shared" si="12"/>
        <v>#N/A</v>
      </c>
      <c r="T31" s="771" t="s">
        <v>17</v>
      </c>
      <c r="U31" s="772" t="e">
        <f t="shared" si="13"/>
        <v>#N/A</v>
      </c>
      <c r="V31" s="771" t="s">
        <v>17</v>
      </c>
      <c r="W31" s="772" t="e">
        <f t="shared" si="14"/>
        <v>#N/A</v>
      </c>
      <c r="X31" s="773"/>
      <c r="Y31" s="3234"/>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34" t="s">
        <v>2568</v>
      </c>
      <c r="Q32" s="1813" t="str">
        <f t="shared" si="11"/>
        <v>车位类型</v>
      </c>
      <c r="R32" s="775" t="s">
        <v>17</v>
      </c>
      <c r="S32" s="776">
        <f t="shared" si="12"/>
        <v>100</v>
      </c>
      <c r="T32" s="775" t="s">
        <v>17</v>
      </c>
      <c r="U32" s="776">
        <f t="shared" si="13"/>
        <v>100</v>
      </c>
      <c r="V32" s="775" t="s">
        <v>17</v>
      </c>
      <c r="W32" s="776">
        <f t="shared" si="14"/>
        <v>100</v>
      </c>
      <c r="X32" s="1816"/>
      <c r="Y32" s="3234"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34"/>
      <c r="Q33" s="1813" t="str">
        <f t="shared" si="11"/>
        <v>是否直接入户</v>
      </c>
      <c r="R33" s="775" t="s">
        <v>17</v>
      </c>
      <c r="S33" s="776">
        <f t="shared" si="12"/>
        <v>100</v>
      </c>
      <c r="T33" s="775" t="s">
        <v>17</v>
      </c>
      <c r="U33" s="776">
        <f t="shared" si="13"/>
        <v>100</v>
      </c>
      <c r="V33" s="775" t="s">
        <v>17</v>
      </c>
      <c r="W33" s="776">
        <f t="shared" si="14"/>
        <v>100</v>
      </c>
      <c r="X33" s="1816"/>
      <c r="Y33" s="3234"/>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34"/>
      <c r="Q34" s="1813">
        <f t="shared" si="11"/>
        <v>111</v>
      </c>
      <c r="R34" s="775" t="s">
        <v>17</v>
      </c>
      <c r="S34" s="776">
        <f t="shared" si="12"/>
        <v>100</v>
      </c>
      <c r="T34" s="775" t="s">
        <v>17</v>
      </c>
      <c r="U34" s="776">
        <f t="shared" si="13"/>
        <v>100</v>
      </c>
      <c r="V34" s="775" t="s">
        <v>17</v>
      </c>
      <c r="W34" s="776">
        <f t="shared" si="14"/>
        <v>100</v>
      </c>
      <c r="X34" s="1816"/>
      <c r="Y34" s="3234"/>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34"/>
      <c r="Q35" s="777">
        <f t="shared" si="11"/>
        <v>111</v>
      </c>
      <c r="R35" s="778" t="s">
        <v>17</v>
      </c>
      <c r="S35" s="779">
        <f t="shared" si="12"/>
        <v>100</v>
      </c>
      <c r="T35" s="778" t="s">
        <v>17</v>
      </c>
      <c r="U35" s="779">
        <f t="shared" si="13"/>
        <v>100</v>
      </c>
      <c r="V35" s="778" t="s">
        <v>17</v>
      </c>
      <c r="W35" s="779">
        <f t="shared" si="14"/>
        <v>100</v>
      </c>
      <c r="X35" s="780"/>
      <c r="Y35" s="3234"/>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34"/>
      <c r="Q36" s="1813">
        <f t="shared" si="11"/>
        <v>111</v>
      </c>
      <c r="R36" s="775" t="s">
        <v>17</v>
      </c>
      <c r="S36" s="776">
        <f t="shared" si="12"/>
        <v>100</v>
      </c>
      <c r="T36" s="775" t="s">
        <v>17</v>
      </c>
      <c r="U36" s="776">
        <f t="shared" si="13"/>
        <v>100</v>
      </c>
      <c r="V36" s="775" t="s">
        <v>17</v>
      </c>
      <c r="W36" s="776">
        <f t="shared" si="14"/>
        <v>100</v>
      </c>
      <c r="X36" s="1816"/>
      <c r="Y36" s="3234"/>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236" t="str">
        <f>A37</f>
        <v>成交单价</v>
      </c>
      <c r="Q37" s="3236"/>
      <c r="R37" s="3237">
        <f>E37</f>
        <v>0</v>
      </c>
      <c r="S37" s="3237"/>
      <c r="T37" s="3237">
        <f>G37</f>
        <v>0</v>
      </c>
      <c r="U37" s="3237"/>
      <c r="V37" s="3237">
        <f>I37</f>
        <v>0</v>
      </c>
      <c r="W37" s="3237"/>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238" t="str">
        <f>A39</f>
        <v>估价对象XX用房的比较价值（楼面单价，元/平方米）</v>
      </c>
      <c r="Q39" s="3239"/>
      <c r="R39" s="3240" t="e">
        <f>IF(F1="售价",ROUND(AVERAGE(R38:V38),0),ROUND(AVERAGE(R38:V38),1))</f>
        <v>#DIV/0!</v>
      </c>
      <c r="S39" s="3240"/>
      <c r="T39" s="3240"/>
      <c r="U39" s="3240"/>
      <c r="V39" s="3240"/>
      <c r="W39" s="3240"/>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196" t="s">
        <v>2651</v>
      </c>
      <c r="AC4" s="3195" t="s">
        <v>2652</v>
      </c>
    </row>
    <row r="5" spans="1:29"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196"/>
      <c r="AC5" s="3196"/>
    </row>
    <row r="6" spans="1:29" ht="15.75" thickBot="1">
      <c r="A6" s="407"/>
      <c r="B6" s="408"/>
      <c r="C6" s="3214" t="s">
        <v>2549</v>
      </c>
      <c r="D6" s="3215"/>
      <c r="E6" s="3216" t="s">
        <v>2549</v>
      </c>
      <c r="F6" s="3217"/>
      <c r="G6" s="3214" t="s">
        <v>2549</v>
      </c>
      <c r="H6" s="3215"/>
      <c r="I6" s="3214" t="s">
        <v>2549</v>
      </c>
      <c r="J6" s="3215"/>
      <c r="K6" s="611" t="s">
        <v>2550</v>
      </c>
      <c r="L6" s="1133"/>
      <c r="M6" s="1134"/>
      <c r="N6" s="1134"/>
      <c r="O6" s="1134"/>
      <c r="P6" s="3206"/>
      <c r="Q6" s="3207"/>
      <c r="R6" s="3210"/>
      <c r="S6" s="3211"/>
      <c r="T6" s="3221"/>
      <c r="U6" s="3222"/>
      <c r="V6" s="3223"/>
      <c r="W6" s="3223"/>
      <c r="X6" s="1816"/>
      <c r="Y6" s="3221"/>
      <c r="Z6" s="3222"/>
      <c r="AA6" s="3197"/>
      <c r="AB6" s="3197"/>
      <c r="AC6" s="3197"/>
    </row>
    <row r="7" spans="1:29" s="117" customFormat="1" ht="15.75" thickBot="1">
      <c r="A7" s="409" t="s">
        <v>2551</v>
      </c>
      <c r="B7" s="410"/>
      <c r="C7" s="411">
        <f>'数据-取费表'!B2</f>
        <v>43017</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24" t="s">
        <v>2552</v>
      </c>
      <c r="Q7" s="3225"/>
      <c r="R7" s="771" t="s">
        <v>17</v>
      </c>
      <c r="S7" s="772">
        <f t="shared" ref="S7:S14" si="0">F7</f>
        <v>0</v>
      </c>
      <c r="T7" s="771" t="s">
        <v>17</v>
      </c>
      <c r="U7" s="772">
        <f t="shared" ref="U7:U14" si="1">H7</f>
        <v>0</v>
      </c>
      <c r="V7" s="771" t="s">
        <v>17</v>
      </c>
      <c r="W7" s="772">
        <f t="shared" ref="W7:W14" si="2">J7</f>
        <v>0</v>
      </c>
      <c r="X7" s="773"/>
      <c r="Y7" s="3224" t="s">
        <v>2552</v>
      </c>
      <c r="Z7" s="3226"/>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36" t="s">
        <v>2558</v>
      </c>
      <c r="Q9" s="1798" t="str">
        <f t="shared" ref="Q9:Q14" si="6">B9</f>
        <v>用途</v>
      </c>
      <c r="R9" s="771" t="s">
        <v>17</v>
      </c>
      <c r="S9" s="772">
        <f t="shared" si="0"/>
        <v>100</v>
      </c>
      <c r="T9" s="771" t="s">
        <v>17</v>
      </c>
      <c r="U9" s="772">
        <f t="shared" si="1"/>
        <v>100</v>
      </c>
      <c r="V9" s="771" t="s">
        <v>17</v>
      </c>
      <c r="W9" s="772">
        <f t="shared" si="2"/>
        <v>100</v>
      </c>
      <c r="X9" s="773"/>
      <c r="Y9" s="3023"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36"/>
      <c r="Q10" s="1798" t="str">
        <f t="shared" si="6"/>
        <v>土地使用年限（年）</v>
      </c>
      <c r="R10" s="771" t="s">
        <v>17</v>
      </c>
      <c r="S10" s="772">
        <f t="shared" si="0"/>
        <v>100</v>
      </c>
      <c r="T10" s="771" t="s">
        <v>17</v>
      </c>
      <c r="U10" s="772">
        <f t="shared" si="1"/>
        <v>100</v>
      </c>
      <c r="V10" s="771" t="s">
        <v>17</v>
      </c>
      <c r="W10" s="772">
        <f t="shared" si="2"/>
        <v>100</v>
      </c>
      <c r="X10" s="773"/>
      <c r="Y10" s="3023"/>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36"/>
      <c r="Q11" s="1798">
        <f t="shared" si="6"/>
        <v>111</v>
      </c>
      <c r="R11" s="771" t="s">
        <v>17</v>
      </c>
      <c r="S11" s="772">
        <f t="shared" si="0"/>
        <v>100</v>
      </c>
      <c r="T11" s="771" t="s">
        <v>17</v>
      </c>
      <c r="U11" s="772">
        <f t="shared" si="1"/>
        <v>100</v>
      </c>
      <c r="V11" s="771" t="s">
        <v>17</v>
      </c>
      <c r="W11" s="772">
        <f t="shared" si="2"/>
        <v>100</v>
      </c>
      <c r="X11" s="773"/>
      <c r="Y11" s="3023"/>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36"/>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236"/>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29" t="s">
        <v>2563</v>
      </c>
      <c r="Q14" s="1813" t="str">
        <f t="shared" si="6"/>
        <v>交通便捷度</v>
      </c>
      <c r="R14" s="775" t="s">
        <v>17</v>
      </c>
      <c r="S14" s="776">
        <f t="shared" si="0"/>
        <v>100</v>
      </c>
      <c r="T14" s="775" t="s">
        <v>17</v>
      </c>
      <c r="U14" s="776">
        <f t="shared" si="1"/>
        <v>100</v>
      </c>
      <c r="V14" s="775" t="s">
        <v>17</v>
      </c>
      <c r="W14" s="776">
        <f t="shared" si="2"/>
        <v>100</v>
      </c>
      <c r="X14" s="1816"/>
      <c r="Y14" s="3229"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30"/>
      <c r="Q15" s="1813"/>
      <c r="R15" s="775"/>
      <c r="S15" s="776"/>
      <c r="T15" s="775"/>
      <c r="U15" s="776"/>
      <c r="V15" s="775"/>
      <c r="W15" s="776"/>
      <c r="X15" s="1816"/>
      <c r="Y15" s="3230"/>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30"/>
      <c r="Q16" s="1813" t="str">
        <f>B16</f>
        <v>公共配套设施</v>
      </c>
      <c r="R16" s="775" t="s">
        <v>17</v>
      </c>
      <c r="S16" s="776">
        <f>F16</f>
        <v>100</v>
      </c>
      <c r="T16" s="775" t="s">
        <v>17</v>
      </c>
      <c r="U16" s="776">
        <f>H16</f>
        <v>100</v>
      </c>
      <c r="V16" s="775" t="s">
        <v>17</v>
      </c>
      <c r="W16" s="776">
        <f>J16</f>
        <v>100</v>
      </c>
      <c r="X16" s="1816"/>
      <c r="Y16" s="3230"/>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30"/>
      <c r="Q17" s="1813"/>
      <c r="R17" s="775"/>
      <c r="S17" s="776"/>
      <c r="T17" s="775"/>
      <c r="U17" s="776"/>
      <c r="V17" s="775"/>
      <c r="W17" s="776"/>
      <c r="X17" s="1816"/>
      <c r="Y17" s="3230"/>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30"/>
      <c r="Q18" s="1813" t="str">
        <f>B18</f>
        <v>基础设施水平</v>
      </c>
      <c r="R18" s="775" t="s">
        <v>17</v>
      </c>
      <c r="S18" s="776">
        <f>F18</f>
        <v>100</v>
      </c>
      <c r="T18" s="775" t="s">
        <v>17</v>
      </c>
      <c r="U18" s="776">
        <f>H18</f>
        <v>100</v>
      </c>
      <c r="V18" s="775" t="s">
        <v>17</v>
      </c>
      <c r="W18" s="776">
        <f>J18</f>
        <v>100</v>
      </c>
      <c r="X18" s="1816"/>
      <c r="Y18" s="3230"/>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30"/>
      <c r="Q19" s="1813"/>
      <c r="R19" s="775"/>
      <c r="S19" s="776"/>
      <c r="T19" s="775"/>
      <c r="U19" s="776"/>
      <c r="V19" s="775"/>
      <c r="W19" s="776"/>
      <c r="X19" s="1816"/>
      <c r="Y19" s="3230"/>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30"/>
      <c r="Q20" s="1813" t="str">
        <f>B20</f>
        <v>自然及人文环境</v>
      </c>
      <c r="R20" s="775" t="s">
        <v>17</v>
      </c>
      <c r="S20" s="776">
        <f>F20</f>
        <v>100</v>
      </c>
      <c r="T20" s="775" t="s">
        <v>17</v>
      </c>
      <c r="U20" s="776">
        <f>H20</f>
        <v>100</v>
      </c>
      <c r="V20" s="775" t="s">
        <v>17</v>
      </c>
      <c r="W20" s="776">
        <f>J20</f>
        <v>100</v>
      </c>
      <c r="X20" s="1816"/>
      <c r="Y20" s="3230"/>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30"/>
      <c r="Q21" s="1813"/>
      <c r="R21" s="775"/>
      <c r="S21" s="776"/>
      <c r="T21" s="775"/>
      <c r="U21" s="776"/>
      <c r="V21" s="775"/>
      <c r="W21" s="776"/>
      <c r="X21" s="1816"/>
      <c r="Y21" s="3230"/>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30"/>
      <c r="Q22" s="1813" t="str">
        <f>B22</f>
        <v>楼层</v>
      </c>
      <c r="R22" s="775" t="s">
        <v>17</v>
      </c>
      <c r="S22" s="776">
        <f>F22</f>
        <v>100</v>
      </c>
      <c r="T22" s="775" t="s">
        <v>17</v>
      </c>
      <c r="U22" s="776">
        <f>H22</f>
        <v>100</v>
      </c>
      <c r="V22" s="775" t="s">
        <v>17</v>
      </c>
      <c r="W22" s="776">
        <f>J22</f>
        <v>100</v>
      </c>
      <c r="X22" s="1816"/>
      <c r="Y22" s="3230"/>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30"/>
      <c r="Q23" s="1813">
        <f>B23</f>
        <v>111</v>
      </c>
      <c r="R23" s="775" t="s">
        <v>17</v>
      </c>
      <c r="S23" s="776">
        <f>F23</f>
        <v>100</v>
      </c>
      <c r="T23" s="775" t="s">
        <v>17</v>
      </c>
      <c r="U23" s="776">
        <f>H23</f>
        <v>100</v>
      </c>
      <c r="V23" s="775" t="s">
        <v>17</v>
      </c>
      <c r="W23" s="776">
        <f>J23</f>
        <v>100</v>
      </c>
      <c r="X23" s="1816"/>
      <c r="Y23" s="3230"/>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30"/>
      <c r="Q24" s="1813">
        <f t="shared" ref="Q24:Q34" si="11">B24</f>
        <v>111</v>
      </c>
      <c r="R24" s="775" t="s">
        <v>17</v>
      </c>
      <c r="S24" s="776">
        <f>F24</f>
        <v>100</v>
      </c>
      <c r="T24" s="775" t="s">
        <v>17</v>
      </c>
      <c r="U24" s="776">
        <f>H24</f>
        <v>100</v>
      </c>
      <c r="V24" s="775" t="s">
        <v>17</v>
      </c>
      <c r="W24" s="776">
        <f>J24</f>
        <v>100</v>
      </c>
      <c r="X24" s="1816"/>
      <c r="Y24" s="3230"/>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30"/>
      <c r="Q25" s="1798">
        <f t="shared" si="11"/>
        <v>111</v>
      </c>
      <c r="R25" s="771" t="s">
        <v>17</v>
      </c>
      <c r="S25" s="772">
        <f>F25</f>
        <v>100</v>
      </c>
      <c r="T25" s="771" t="s">
        <v>17</v>
      </c>
      <c r="U25" s="772">
        <f>H25</f>
        <v>100</v>
      </c>
      <c r="V25" s="771" t="s">
        <v>17</v>
      </c>
      <c r="W25" s="772">
        <f>J25</f>
        <v>100</v>
      </c>
      <c r="X25" s="773"/>
      <c r="Y25" s="3230"/>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58"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34"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34"/>
      <c r="Q27" s="777" t="str">
        <f t="shared" si="11"/>
        <v>成新率</v>
      </c>
      <c r="R27" s="778" t="s">
        <v>17</v>
      </c>
      <c r="S27" s="779" t="e">
        <f t="shared" si="12"/>
        <v>#N/A</v>
      </c>
      <c r="T27" s="778" t="s">
        <v>17</v>
      </c>
      <c r="U27" s="779" t="e">
        <f t="shared" si="13"/>
        <v>#N/A</v>
      </c>
      <c r="V27" s="778" t="s">
        <v>17</v>
      </c>
      <c r="W27" s="779" t="e">
        <f t="shared" si="14"/>
        <v>#N/A</v>
      </c>
      <c r="X27" s="780"/>
      <c r="Y27" s="3234"/>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34"/>
      <c r="Q28" s="1813" t="str">
        <f t="shared" si="11"/>
        <v>物业等级</v>
      </c>
      <c r="R28" s="775" t="s">
        <v>17</v>
      </c>
      <c r="S28" s="776">
        <f t="shared" si="12"/>
        <v>100</v>
      </c>
      <c r="T28" s="775" t="s">
        <v>17</v>
      </c>
      <c r="U28" s="776">
        <f t="shared" si="13"/>
        <v>100</v>
      </c>
      <c r="V28" s="775" t="s">
        <v>17</v>
      </c>
      <c r="W28" s="776">
        <f t="shared" si="14"/>
        <v>100</v>
      </c>
      <c r="X28" s="1816"/>
      <c r="Y28" s="3234"/>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34"/>
      <c r="Q29" s="1813" t="str">
        <f t="shared" si="11"/>
        <v>有无电梯</v>
      </c>
      <c r="R29" s="775" t="s">
        <v>17</v>
      </c>
      <c r="S29" s="776">
        <f t="shared" si="12"/>
        <v>100</v>
      </c>
      <c r="T29" s="775" t="s">
        <v>17</v>
      </c>
      <c r="U29" s="776">
        <f t="shared" si="13"/>
        <v>100</v>
      </c>
      <c r="V29" s="775" t="s">
        <v>17</v>
      </c>
      <c r="W29" s="776">
        <f t="shared" si="14"/>
        <v>100</v>
      </c>
      <c r="X29" s="1816"/>
      <c r="Y29" s="3234"/>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34"/>
      <c r="Q30" s="1813" t="str">
        <f t="shared" si="11"/>
        <v>建筑面积</v>
      </c>
      <c r="R30" s="775" t="s">
        <v>17</v>
      </c>
      <c r="S30" s="776" t="e">
        <f t="shared" si="12"/>
        <v>#N/A</v>
      </c>
      <c r="T30" s="775" t="s">
        <v>17</v>
      </c>
      <c r="U30" s="776" t="e">
        <f t="shared" si="13"/>
        <v>#N/A</v>
      </c>
      <c r="V30" s="775" t="s">
        <v>17</v>
      </c>
      <c r="W30" s="776" t="e">
        <f t="shared" si="14"/>
        <v>#N/A</v>
      </c>
      <c r="X30" s="1816"/>
      <c r="Y30" s="3234"/>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34"/>
      <c r="Q31" s="1798" t="str">
        <f t="shared" si="11"/>
        <v>是否封闭</v>
      </c>
      <c r="R31" s="771" t="s">
        <v>17</v>
      </c>
      <c r="S31" s="772">
        <f t="shared" si="12"/>
        <v>100</v>
      </c>
      <c r="T31" s="771" t="s">
        <v>17</v>
      </c>
      <c r="U31" s="772">
        <f t="shared" si="13"/>
        <v>100</v>
      </c>
      <c r="V31" s="771" t="s">
        <v>17</v>
      </c>
      <c r="W31" s="772">
        <f t="shared" si="14"/>
        <v>100</v>
      </c>
      <c r="X31" s="773"/>
      <c r="Y31" s="3234"/>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34" t="s">
        <v>2568</v>
      </c>
      <c r="Q32" s="1813">
        <f t="shared" si="11"/>
        <v>111</v>
      </c>
      <c r="R32" s="775" t="s">
        <v>17</v>
      </c>
      <c r="S32" s="776">
        <f t="shared" si="12"/>
        <v>100</v>
      </c>
      <c r="T32" s="775" t="s">
        <v>17</v>
      </c>
      <c r="U32" s="776">
        <f t="shared" si="13"/>
        <v>100</v>
      </c>
      <c r="V32" s="775" t="s">
        <v>17</v>
      </c>
      <c r="W32" s="776">
        <f t="shared" si="14"/>
        <v>100</v>
      </c>
      <c r="X32" s="1816"/>
      <c r="Y32" s="3234"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34"/>
      <c r="Q33" s="1813">
        <f t="shared" si="11"/>
        <v>111</v>
      </c>
      <c r="R33" s="775" t="s">
        <v>17</v>
      </c>
      <c r="S33" s="776">
        <f t="shared" si="12"/>
        <v>100</v>
      </c>
      <c r="T33" s="775" t="s">
        <v>17</v>
      </c>
      <c r="U33" s="776">
        <f t="shared" si="13"/>
        <v>100</v>
      </c>
      <c r="V33" s="775" t="s">
        <v>17</v>
      </c>
      <c r="W33" s="776">
        <f t="shared" si="14"/>
        <v>100</v>
      </c>
      <c r="X33" s="1816"/>
      <c r="Y33" s="3234"/>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34"/>
      <c r="Q34" s="1813">
        <f t="shared" si="11"/>
        <v>111</v>
      </c>
      <c r="R34" s="775" t="s">
        <v>17</v>
      </c>
      <c r="S34" s="776">
        <f t="shared" si="12"/>
        <v>100</v>
      </c>
      <c r="T34" s="775" t="s">
        <v>17</v>
      </c>
      <c r="U34" s="776">
        <f t="shared" si="13"/>
        <v>100</v>
      </c>
      <c r="V34" s="775" t="s">
        <v>17</v>
      </c>
      <c r="W34" s="776">
        <f t="shared" si="14"/>
        <v>100</v>
      </c>
      <c r="X34" s="1816"/>
      <c r="Y34" s="3234"/>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236" t="str">
        <f>A35</f>
        <v>成交单价（元/平方米）</v>
      </c>
      <c r="Q35" s="3236"/>
      <c r="R35" s="3237">
        <f>E35</f>
        <v>0</v>
      </c>
      <c r="S35" s="3237"/>
      <c r="T35" s="3237">
        <f>G35</f>
        <v>0</v>
      </c>
      <c r="U35" s="3237"/>
      <c r="V35" s="3237">
        <f>I35</f>
        <v>0</v>
      </c>
      <c r="W35" s="3237"/>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238" t="str">
        <f>A37</f>
        <v>估价对象XX用房的比较价值（楼面单价，元/平方米）</v>
      </c>
      <c r="Q37" s="3239"/>
      <c r="R37" s="3240" t="e">
        <f>IF(F1="售价",ROUND(AVERAGE(R36:V36),0),ROUND(AVERAGE(R36:V36),1))</f>
        <v>#DIV/0!</v>
      </c>
      <c r="S37" s="3240"/>
      <c r="T37" s="3240"/>
      <c r="U37" s="3240"/>
      <c r="V37" s="3240"/>
      <c r="W37" s="3240"/>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196" t="s">
        <v>2651</v>
      </c>
      <c r="AC4" s="3195" t="s">
        <v>2652</v>
      </c>
    </row>
    <row r="5" spans="1:30"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196"/>
      <c r="AC5" s="3196"/>
    </row>
    <row r="6" spans="1:30" ht="15.75" thickBot="1">
      <c r="A6" s="407"/>
      <c r="B6" s="408"/>
      <c r="C6" s="3214" t="s">
        <v>2549</v>
      </c>
      <c r="D6" s="3215"/>
      <c r="E6" s="3216" t="s">
        <v>2549</v>
      </c>
      <c r="F6" s="3217"/>
      <c r="G6" s="3214" t="s">
        <v>2549</v>
      </c>
      <c r="H6" s="3215"/>
      <c r="I6" s="3214" t="s">
        <v>2549</v>
      </c>
      <c r="J6" s="3215"/>
      <c r="K6" s="611" t="s">
        <v>2550</v>
      </c>
      <c r="L6" s="1133"/>
      <c r="M6" s="1134"/>
      <c r="N6" s="1134"/>
      <c r="O6" s="1134"/>
      <c r="P6" s="3206"/>
      <c r="Q6" s="3207"/>
      <c r="R6" s="3210"/>
      <c r="S6" s="3211"/>
      <c r="T6" s="3221"/>
      <c r="U6" s="3222"/>
      <c r="V6" s="3223"/>
      <c r="W6" s="3223"/>
      <c r="X6" s="1816"/>
      <c r="Y6" s="3221"/>
      <c r="Z6" s="3222"/>
      <c r="AA6" s="3197"/>
      <c r="AB6" s="3197"/>
      <c r="AC6" s="3197"/>
    </row>
    <row r="7" spans="1:30" s="117" customFormat="1" ht="15.75" thickBot="1">
      <c r="A7" s="409" t="s">
        <v>2551</v>
      </c>
      <c r="B7" s="410"/>
      <c r="C7" s="411">
        <f>'数据-取费表'!B2</f>
        <v>43017</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24" t="s">
        <v>2552</v>
      </c>
      <c r="Q7" s="3225"/>
      <c r="R7" s="771" t="s">
        <v>17</v>
      </c>
      <c r="S7" s="772">
        <f t="shared" ref="S7:S15" si="0">F7</f>
        <v>0</v>
      </c>
      <c r="T7" s="771" t="s">
        <v>17</v>
      </c>
      <c r="U7" s="772">
        <f t="shared" ref="U7:U15" si="1">H7</f>
        <v>0</v>
      </c>
      <c r="V7" s="771" t="s">
        <v>17</v>
      </c>
      <c r="W7" s="772">
        <f t="shared" ref="W7:W15" si="2">J7</f>
        <v>0</v>
      </c>
      <c r="X7" s="773"/>
      <c r="Y7" s="3224" t="s">
        <v>2552</v>
      </c>
      <c r="Z7" s="3226"/>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236"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236"/>
      <c r="Q10" s="1798" t="str">
        <f t="shared" si="6"/>
        <v>土地使用年限（年）</v>
      </c>
      <c r="R10" s="771" t="s">
        <v>17</v>
      </c>
      <c r="S10" s="772">
        <f t="shared" si="0"/>
        <v>105</v>
      </c>
      <c r="T10" s="771" t="s">
        <v>17</v>
      </c>
      <c r="U10" s="772">
        <f t="shared" si="1"/>
        <v>105</v>
      </c>
      <c r="V10" s="771" t="s">
        <v>17</v>
      </c>
      <c r="W10" s="772">
        <f t="shared" si="2"/>
        <v>105</v>
      </c>
      <c r="X10" s="773"/>
      <c r="Y10" s="3023"/>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36"/>
      <c r="Q11" s="1798" t="str">
        <f t="shared" si="6"/>
        <v>容积率</v>
      </c>
      <c r="R11" s="771" t="s">
        <v>17</v>
      </c>
      <c r="S11" s="772" t="e">
        <f t="shared" si="0"/>
        <v>#N/A</v>
      </c>
      <c r="T11" s="771" t="s">
        <v>17</v>
      </c>
      <c r="U11" s="772" t="e">
        <f t="shared" si="1"/>
        <v>#N/A</v>
      </c>
      <c r="V11" s="771" t="s">
        <v>17</v>
      </c>
      <c r="W11" s="772" t="e">
        <f t="shared" si="2"/>
        <v>#N/A</v>
      </c>
      <c r="X11" s="773"/>
      <c r="Y11" s="3023"/>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36"/>
      <c r="Q12" s="1798" t="str">
        <f t="shared" si="6"/>
        <v>配建</v>
      </c>
      <c r="R12" s="771" t="s">
        <v>17</v>
      </c>
      <c r="S12" s="772">
        <f t="shared" si="0"/>
        <v>100</v>
      </c>
      <c r="T12" s="771" t="s">
        <v>17</v>
      </c>
      <c r="U12" s="772">
        <f t="shared" si="1"/>
        <v>100</v>
      </c>
      <c r="V12" s="771" t="s">
        <v>17</v>
      </c>
      <c r="W12" s="772">
        <f t="shared" si="2"/>
        <v>100</v>
      </c>
      <c r="X12" s="773"/>
      <c r="Y12" s="3023"/>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36"/>
      <c r="Q13" s="1798">
        <f t="shared" si="6"/>
        <v>111</v>
      </c>
      <c r="R13" s="771" t="s">
        <v>17</v>
      </c>
      <c r="S13" s="772">
        <f t="shared" si="0"/>
        <v>100</v>
      </c>
      <c r="T13" s="771" t="s">
        <v>17</v>
      </c>
      <c r="U13" s="772">
        <f t="shared" si="1"/>
        <v>100</v>
      </c>
      <c r="V13" s="771" t="s">
        <v>17</v>
      </c>
      <c r="W13" s="772">
        <f t="shared" si="2"/>
        <v>100</v>
      </c>
      <c r="X13" s="773"/>
      <c r="Y13" s="3023"/>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36"/>
      <c r="Q14" s="1798">
        <f t="shared" si="6"/>
        <v>111</v>
      </c>
      <c r="R14" s="771" t="s">
        <v>17</v>
      </c>
      <c r="S14" s="772">
        <f t="shared" si="0"/>
        <v>100</v>
      </c>
      <c r="T14" s="771" t="s">
        <v>17</v>
      </c>
      <c r="U14" s="772">
        <f t="shared" si="1"/>
        <v>100</v>
      </c>
      <c r="V14" s="771" t="s">
        <v>17</v>
      </c>
      <c r="W14" s="772">
        <f t="shared" si="2"/>
        <v>100</v>
      </c>
      <c r="X14" s="773"/>
      <c r="Y14" s="3023"/>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29" t="s">
        <v>2563</v>
      </c>
      <c r="Q15" s="1813" t="str">
        <f t="shared" si="6"/>
        <v>居住社区成熟度</v>
      </c>
      <c r="R15" s="775" t="s">
        <v>17</v>
      </c>
      <c r="S15" s="776">
        <f t="shared" si="0"/>
        <v>100</v>
      </c>
      <c r="T15" s="775" t="s">
        <v>17</v>
      </c>
      <c r="U15" s="776">
        <f t="shared" si="1"/>
        <v>100</v>
      </c>
      <c r="V15" s="775" t="s">
        <v>17</v>
      </c>
      <c r="W15" s="776">
        <f t="shared" si="2"/>
        <v>100</v>
      </c>
      <c r="X15" s="1816"/>
      <c r="Y15" s="3229"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30"/>
      <c r="Q16" s="1813"/>
      <c r="R16" s="775"/>
      <c r="S16" s="776"/>
      <c r="T16" s="775"/>
      <c r="U16" s="776"/>
      <c r="V16" s="775"/>
      <c r="W16" s="776"/>
      <c r="X16" s="1816"/>
      <c r="Y16" s="3230"/>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30"/>
      <c r="Q17" s="1813" t="str">
        <f>B17</f>
        <v>商业繁华度</v>
      </c>
      <c r="R17" s="775" t="s">
        <v>17</v>
      </c>
      <c r="S17" s="776">
        <f>F17</f>
        <v>100</v>
      </c>
      <c r="T17" s="775" t="s">
        <v>17</v>
      </c>
      <c r="U17" s="776">
        <f>H17</f>
        <v>100</v>
      </c>
      <c r="V17" s="775" t="s">
        <v>17</v>
      </c>
      <c r="W17" s="776">
        <f>J17</f>
        <v>100</v>
      </c>
      <c r="X17" s="1816"/>
      <c r="Y17" s="3230"/>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30"/>
      <c r="Q18" s="1813"/>
      <c r="R18" s="775"/>
      <c r="S18" s="776"/>
      <c r="T18" s="775"/>
      <c r="U18" s="776"/>
      <c r="V18" s="775"/>
      <c r="W18" s="776"/>
      <c r="X18" s="1816"/>
      <c r="Y18" s="3230"/>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30"/>
      <c r="Q19" s="1813" t="str">
        <f>B19</f>
        <v>办公集聚程度</v>
      </c>
      <c r="R19" s="775" t="s">
        <v>17</v>
      </c>
      <c r="S19" s="776">
        <f>F19</f>
        <v>100</v>
      </c>
      <c r="T19" s="775" t="s">
        <v>17</v>
      </c>
      <c r="U19" s="776">
        <f>H19</f>
        <v>100</v>
      </c>
      <c r="V19" s="775" t="s">
        <v>17</v>
      </c>
      <c r="W19" s="776">
        <f>J19</f>
        <v>100</v>
      </c>
      <c r="X19" s="1816"/>
      <c r="Y19" s="3230"/>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30"/>
      <c r="Q20" s="1813"/>
      <c r="R20" s="775"/>
      <c r="S20" s="776"/>
      <c r="T20" s="775"/>
      <c r="U20" s="776"/>
      <c r="V20" s="775"/>
      <c r="W20" s="776"/>
      <c r="X20" s="1816"/>
      <c r="Y20" s="3230"/>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30"/>
      <c r="Q21" s="1813" t="str">
        <f>B21</f>
        <v>交通便捷度</v>
      </c>
      <c r="R21" s="775" t="s">
        <v>17</v>
      </c>
      <c r="S21" s="776">
        <f>F21</f>
        <v>100</v>
      </c>
      <c r="T21" s="775" t="s">
        <v>17</v>
      </c>
      <c r="U21" s="776">
        <f>H21</f>
        <v>100</v>
      </c>
      <c r="V21" s="775" t="s">
        <v>17</v>
      </c>
      <c r="W21" s="776">
        <f>J21</f>
        <v>100</v>
      </c>
      <c r="X21" s="1816"/>
      <c r="Y21" s="3230"/>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30"/>
      <c r="Q22" s="1813"/>
      <c r="R22" s="775"/>
      <c r="S22" s="776"/>
      <c r="T22" s="775"/>
      <c r="U22" s="776"/>
      <c r="V22" s="775"/>
      <c r="W22" s="776"/>
      <c r="X22" s="1816"/>
      <c r="Y22" s="3230"/>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30"/>
      <c r="Q23" s="1813" t="str">
        <f t="shared" ref="Q23:Q37" si="8">B23</f>
        <v>区域土地利用方向</v>
      </c>
      <c r="R23" s="775" t="s">
        <v>17</v>
      </c>
      <c r="S23" s="776">
        <f>F23</f>
        <v>100</v>
      </c>
      <c r="T23" s="775" t="s">
        <v>17</v>
      </c>
      <c r="U23" s="776">
        <f>H23</f>
        <v>100</v>
      </c>
      <c r="V23" s="775" t="s">
        <v>17</v>
      </c>
      <c r="W23" s="776">
        <f>J23</f>
        <v>100</v>
      </c>
      <c r="X23" s="1816"/>
      <c r="Y23" s="3230"/>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30"/>
      <c r="Q24" s="1813"/>
      <c r="R24" s="775"/>
      <c r="S24" s="776"/>
      <c r="T24" s="775"/>
      <c r="U24" s="776"/>
      <c r="V24" s="775"/>
      <c r="W24" s="776"/>
      <c r="X24" s="1816"/>
      <c r="Y24" s="3230"/>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30"/>
      <c r="Q25" s="1813" t="str">
        <f t="shared" si="8"/>
        <v>自然及人文环境状况</v>
      </c>
      <c r="R25" s="775" t="s">
        <v>17</v>
      </c>
      <c r="S25" s="776">
        <f>F25</f>
        <v>100</v>
      </c>
      <c r="T25" s="775" t="s">
        <v>17</v>
      </c>
      <c r="U25" s="776">
        <f>H25</f>
        <v>100</v>
      </c>
      <c r="V25" s="775" t="s">
        <v>17</v>
      </c>
      <c r="W25" s="776">
        <f>J25</f>
        <v>100</v>
      </c>
      <c r="X25" s="1816"/>
      <c r="Y25" s="3230"/>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30"/>
      <c r="Q26" s="1813"/>
      <c r="R26" s="775"/>
      <c r="S26" s="776"/>
      <c r="T26" s="775"/>
      <c r="U26" s="776"/>
      <c r="V26" s="775"/>
      <c r="W26" s="776"/>
      <c r="X26" s="1816"/>
      <c r="Y26" s="3230"/>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30"/>
      <c r="Q27" s="1798" t="str">
        <f t="shared" si="8"/>
        <v>公共配套设施</v>
      </c>
      <c r="R27" s="771" t="s">
        <v>17</v>
      </c>
      <c r="S27" s="772">
        <f>F27</f>
        <v>100</v>
      </c>
      <c r="T27" s="771" t="s">
        <v>17</v>
      </c>
      <c r="U27" s="772">
        <f>H27</f>
        <v>100</v>
      </c>
      <c r="V27" s="771" t="s">
        <v>17</v>
      </c>
      <c r="W27" s="772">
        <f>J27</f>
        <v>100</v>
      </c>
      <c r="X27" s="773"/>
      <c r="Y27" s="3230"/>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30"/>
      <c r="Q28" s="1798"/>
      <c r="R28" s="771"/>
      <c r="S28" s="772"/>
      <c r="T28" s="771"/>
      <c r="U28" s="772"/>
      <c r="V28" s="771"/>
      <c r="W28" s="772"/>
      <c r="X28" s="773"/>
      <c r="Y28" s="3230"/>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30"/>
      <c r="Q29" s="1798" t="str">
        <f t="shared" ref="Q29" si="9">B29</f>
        <v>基础设施水平</v>
      </c>
      <c r="R29" s="771" t="s">
        <v>17</v>
      </c>
      <c r="S29" s="772">
        <f>F29</f>
        <v>100</v>
      </c>
      <c r="T29" s="771" t="s">
        <v>17</v>
      </c>
      <c r="U29" s="772">
        <f>H29</f>
        <v>100</v>
      </c>
      <c r="V29" s="771" t="s">
        <v>17</v>
      </c>
      <c r="W29" s="772">
        <f>J29</f>
        <v>100</v>
      </c>
      <c r="X29" s="773"/>
      <c r="Y29" s="3230"/>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30"/>
      <c r="Q30" s="1798"/>
      <c r="R30" s="771"/>
      <c r="S30" s="772"/>
      <c r="T30" s="771"/>
      <c r="U30" s="772"/>
      <c r="V30" s="771"/>
      <c r="W30" s="772"/>
      <c r="X30" s="773"/>
      <c r="Y30" s="3230"/>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30"/>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30"/>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30"/>
      <c r="Q32" s="1813" t="str">
        <f t="shared" si="8"/>
        <v>毗邻道路的类型与等级</v>
      </c>
      <c r="R32" s="775" t="s">
        <v>17</v>
      </c>
      <c r="S32" s="776">
        <f t="shared" si="10"/>
        <v>100</v>
      </c>
      <c r="T32" s="775" t="s">
        <v>17</v>
      </c>
      <c r="U32" s="776">
        <f t="shared" si="11"/>
        <v>100</v>
      </c>
      <c r="V32" s="775" t="s">
        <v>17</v>
      </c>
      <c r="W32" s="776">
        <f t="shared" si="12"/>
        <v>100</v>
      </c>
      <c r="X32" s="1816"/>
      <c r="Y32" s="3230"/>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30"/>
      <c r="Q33" s="1813"/>
      <c r="R33" s="775"/>
      <c r="S33" s="776"/>
      <c r="T33" s="775"/>
      <c r="U33" s="776"/>
      <c r="V33" s="775"/>
      <c r="W33" s="776"/>
      <c r="X33" s="1816"/>
      <c r="Y33" s="3230"/>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30"/>
      <c r="Q34" s="1813" t="str">
        <f t="shared" si="8"/>
        <v>土地级别</v>
      </c>
      <c r="R34" s="775" t="s">
        <v>17</v>
      </c>
      <c r="S34" s="776">
        <f t="shared" si="10"/>
        <v>100</v>
      </c>
      <c r="T34" s="775" t="s">
        <v>17</v>
      </c>
      <c r="U34" s="776">
        <f t="shared" si="11"/>
        <v>100</v>
      </c>
      <c r="V34" s="775" t="s">
        <v>17</v>
      </c>
      <c r="W34" s="776">
        <f t="shared" si="12"/>
        <v>100</v>
      </c>
      <c r="X34" s="1816"/>
      <c r="Y34" s="3230"/>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30"/>
      <c r="Q35" s="1813">
        <f t="shared" si="8"/>
        <v>111</v>
      </c>
      <c r="R35" s="775" t="s">
        <v>17</v>
      </c>
      <c r="S35" s="776">
        <f t="shared" si="10"/>
        <v>100</v>
      </c>
      <c r="T35" s="775" t="s">
        <v>17</v>
      </c>
      <c r="U35" s="776">
        <f t="shared" si="11"/>
        <v>100</v>
      </c>
      <c r="V35" s="775" t="s">
        <v>17</v>
      </c>
      <c r="W35" s="776">
        <f t="shared" si="12"/>
        <v>100</v>
      </c>
      <c r="X35" s="1816"/>
      <c r="Y35" s="3230"/>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58" t="s">
        <v>2568</v>
      </c>
      <c r="Q36" s="1813">
        <f t="shared" si="8"/>
        <v>111</v>
      </c>
      <c r="R36" s="775" t="s">
        <v>17</v>
      </c>
      <c r="S36" s="776">
        <f t="shared" si="10"/>
        <v>100</v>
      </c>
      <c r="T36" s="775" t="s">
        <v>17</v>
      </c>
      <c r="U36" s="776">
        <f t="shared" si="11"/>
        <v>100</v>
      </c>
      <c r="V36" s="775" t="s">
        <v>17</v>
      </c>
      <c r="W36" s="776">
        <f t="shared" si="12"/>
        <v>100</v>
      </c>
      <c r="X36" s="1816"/>
      <c r="Y36" s="3234"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34"/>
      <c r="Q37" s="1813">
        <f t="shared" si="8"/>
        <v>111</v>
      </c>
      <c r="R37" s="778" t="s">
        <v>17</v>
      </c>
      <c r="S37" s="779">
        <f t="shared" si="10"/>
        <v>100</v>
      </c>
      <c r="T37" s="778" t="s">
        <v>17</v>
      </c>
      <c r="U37" s="779">
        <f t="shared" si="11"/>
        <v>100</v>
      </c>
      <c r="V37" s="778" t="s">
        <v>17</v>
      </c>
      <c r="W37" s="779">
        <f t="shared" si="12"/>
        <v>100</v>
      </c>
      <c r="X37" s="780"/>
      <c r="Y37" s="3234"/>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34"/>
      <c r="Q38" s="1813" t="str">
        <f>B38</f>
        <v>宗地面积</v>
      </c>
      <c r="R38" s="775" t="s">
        <v>17</v>
      </c>
      <c r="S38" s="776" t="e">
        <f t="shared" si="10"/>
        <v>#N/A</v>
      </c>
      <c r="T38" s="775" t="s">
        <v>17</v>
      </c>
      <c r="U38" s="776" t="e">
        <f t="shared" si="11"/>
        <v>#N/A</v>
      </c>
      <c r="V38" s="775" t="s">
        <v>17</v>
      </c>
      <c r="W38" s="776" t="e">
        <f t="shared" si="12"/>
        <v>#N/A</v>
      </c>
      <c r="X38" s="1816"/>
      <c r="Y38" s="3234"/>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34"/>
      <c r="Q39" s="1813" t="str">
        <f t="shared" ref="Q39:Q45" si="14">B39</f>
        <v>宗地形状</v>
      </c>
      <c r="R39" s="775" t="s">
        <v>17</v>
      </c>
      <c r="S39" s="776">
        <f t="shared" si="10"/>
        <v>100</v>
      </c>
      <c r="T39" s="775" t="s">
        <v>17</v>
      </c>
      <c r="U39" s="776">
        <f t="shared" si="11"/>
        <v>100</v>
      </c>
      <c r="V39" s="775" t="s">
        <v>17</v>
      </c>
      <c r="W39" s="776">
        <f t="shared" si="12"/>
        <v>100</v>
      </c>
      <c r="X39" s="1816"/>
      <c r="Y39" s="3234"/>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34"/>
      <c r="Q40" s="1813" t="str">
        <f t="shared" si="14"/>
        <v>临街宽度及深度</v>
      </c>
      <c r="R40" s="775" t="s">
        <v>17</v>
      </c>
      <c r="S40" s="776">
        <f t="shared" si="10"/>
        <v>100</v>
      </c>
      <c r="T40" s="775" t="s">
        <v>17</v>
      </c>
      <c r="U40" s="776">
        <f t="shared" si="11"/>
        <v>100</v>
      </c>
      <c r="V40" s="775" t="s">
        <v>17</v>
      </c>
      <c r="W40" s="776">
        <f t="shared" si="12"/>
        <v>100</v>
      </c>
      <c r="X40" s="1816"/>
      <c r="Y40" s="3234"/>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34"/>
      <c r="Q41" s="1813" t="str">
        <f t="shared" si="14"/>
        <v>宗地开发程度</v>
      </c>
      <c r="R41" s="771" t="s">
        <v>17</v>
      </c>
      <c r="S41" s="772">
        <f t="shared" si="10"/>
        <v>100</v>
      </c>
      <c r="T41" s="771" t="s">
        <v>17</v>
      </c>
      <c r="U41" s="772">
        <f t="shared" si="11"/>
        <v>100</v>
      </c>
      <c r="V41" s="771" t="s">
        <v>17</v>
      </c>
      <c r="W41" s="772">
        <f t="shared" si="12"/>
        <v>100</v>
      </c>
      <c r="X41" s="773"/>
      <c r="Y41" s="3234"/>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34" t="s">
        <v>2568</v>
      </c>
      <c r="Q42" s="1813" t="str">
        <f t="shared" si="14"/>
        <v>工程地质条件</v>
      </c>
      <c r="R42" s="775" t="s">
        <v>17</v>
      </c>
      <c r="S42" s="776">
        <f t="shared" si="10"/>
        <v>100</v>
      </c>
      <c r="T42" s="775" t="s">
        <v>17</v>
      </c>
      <c r="U42" s="776">
        <f t="shared" si="11"/>
        <v>100</v>
      </c>
      <c r="V42" s="775" t="s">
        <v>17</v>
      </c>
      <c r="W42" s="776">
        <f t="shared" si="12"/>
        <v>100</v>
      </c>
      <c r="X42" s="1816"/>
      <c r="Y42" s="3234"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34"/>
      <c r="Q43" s="1813">
        <f t="shared" si="14"/>
        <v>111</v>
      </c>
      <c r="R43" s="775" t="s">
        <v>17</v>
      </c>
      <c r="S43" s="776">
        <f t="shared" si="10"/>
        <v>100</v>
      </c>
      <c r="T43" s="775" t="s">
        <v>17</v>
      </c>
      <c r="U43" s="776">
        <f t="shared" si="11"/>
        <v>100</v>
      </c>
      <c r="V43" s="775" t="s">
        <v>17</v>
      </c>
      <c r="W43" s="776">
        <f t="shared" si="12"/>
        <v>100</v>
      </c>
      <c r="X43" s="1816"/>
      <c r="Y43" s="3234"/>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34"/>
      <c r="Q44" s="1813">
        <f t="shared" si="14"/>
        <v>111</v>
      </c>
      <c r="R44" s="775" t="s">
        <v>17</v>
      </c>
      <c r="S44" s="776">
        <f t="shared" si="10"/>
        <v>100</v>
      </c>
      <c r="T44" s="775" t="s">
        <v>17</v>
      </c>
      <c r="U44" s="776">
        <f t="shared" si="11"/>
        <v>100</v>
      </c>
      <c r="V44" s="775" t="s">
        <v>17</v>
      </c>
      <c r="W44" s="776">
        <f t="shared" si="12"/>
        <v>100</v>
      </c>
      <c r="X44" s="1816"/>
      <c r="Y44" s="3234"/>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34"/>
      <c r="Q45" s="1813">
        <f t="shared" si="14"/>
        <v>111</v>
      </c>
      <c r="R45" s="778" t="s">
        <v>17</v>
      </c>
      <c r="S45" s="779">
        <f t="shared" si="10"/>
        <v>100</v>
      </c>
      <c r="T45" s="778" t="s">
        <v>17</v>
      </c>
      <c r="U45" s="779">
        <f t="shared" si="11"/>
        <v>100</v>
      </c>
      <c r="V45" s="778" t="s">
        <v>17</v>
      </c>
      <c r="W45" s="779">
        <f t="shared" si="12"/>
        <v>100</v>
      </c>
      <c r="X45" s="780"/>
      <c r="Y45" s="3234"/>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236" t="str">
        <f>A46</f>
        <v>成交单价</v>
      </c>
      <c r="Q46" s="3236"/>
      <c r="R46" s="3223">
        <f>E46</f>
        <v>0</v>
      </c>
      <c r="S46" s="3223"/>
      <c r="T46" s="3223">
        <f>G46</f>
        <v>0</v>
      </c>
      <c r="U46" s="3223"/>
      <c r="V46" s="3223">
        <f>I46</f>
        <v>0</v>
      </c>
      <c r="W46" s="3223"/>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236" t="str">
        <f>A47</f>
        <v>比较价值（元/平方米）</v>
      </c>
      <c r="Q47" s="3236"/>
      <c r="R47" s="3259" t="e">
        <f>ROUND(PRODUCT(R46,AA7:AA45),0)</f>
        <v>#DIV/0!</v>
      </c>
      <c r="S47" s="3259"/>
      <c r="T47" s="3259" t="e">
        <f>ROUND(PRODUCT(T46,AB7:AB45),0)</f>
        <v>#DIV/0!</v>
      </c>
      <c r="U47" s="3259"/>
      <c r="V47" s="3259" t="e">
        <f>ROUND(PRODUCT(V46,AC7:AC45),0)</f>
        <v>#DIV/0!</v>
      </c>
      <c r="W47" s="3259"/>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238" t="str">
        <f>A48</f>
        <v>估价对象XX用房的比较价值（楼面单价，元/平方米）</v>
      </c>
      <c r="Q48" s="3239"/>
      <c r="R48" s="3260" t="e">
        <f>ROUND(AVERAGE(R47:V47),0)</f>
        <v>#DIV/0!</v>
      </c>
      <c r="S48" s="3260"/>
      <c r="T48" s="3260"/>
      <c r="U48" s="3260"/>
      <c r="V48" s="3260"/>
      <c r="W48" s="3260"/>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198" t="s">
        <v>2767</v>
      </c>
      <c r="H55" s="3261"/>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220"/>
      <c r="H56" s="3236"/>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62"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62"/>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62"/>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62"/>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98" t="s">
        <v>2649</v>
      </c>
      <c r="D4" s="3199"/>
      <c r="E4" s="3200" t="s">
        <v>2650</v>
      </c>
      <c r="F4" s="3201"/>
      <c r="G4" s="3198" t="s">
        <v>2651</v>
      </c>
      <c r="H4" s="3199"/>
      <c r="I4" s="3198" t="s">
        <v>2652</v>
      </c>
      <c r="J4" s="3199"/>
      <c r="K4" s="611" t="s">
        <v>2653</v>
      </c>
      <c r="L4" s="1133"/>
      <c r="M4" s="1134"/>
      <c r="N4" s="1134"/>
      <c r="O4" s="1134"/>
      <c r="P4" s="3202" t="s">
        <v>2654</v>
      </c>
      <c r="Q4" s="3203"/>
      <c r="R4" s="3208" t="s">
        <v>2650</v>
      </c>
      <c r="S4" s="3209"/>
      <c r="T4" s="3208" t="s">
        <v>2651</v>
      </c>
      <c r="U4" s="3209"/>
      <c r="V4" s="3223" t="s">
        <v>2652</v>
      </c>
      <c r="W4" s="3223"/>
      <c r="X4" s="1816"/>
      <c r="Y4" s="3208" t="s">
        <v>2654</v>
      </c>
      <c r="Z4" s="3209"/>
      <c r="AA4" s="3195" t="s">
        <v>2650</v>
      </c>
      <c r="AB4" s="3196" t="s">
        <v>2651</v>
      </c>
      <c r="AC4" s="3195" t="s">
        <v>2652</v>
      </c>
    </row>
    <row r="5" spans="1:29" ht="15">
      <c r="A5" s="405"/>
      <c r="B5" s="406"/>
      <c r="C5" s="3212" t="s">
        <v>2545</v>
      </c>
      <c r="D5" s="3213"/>
      <c r="E5" s="3241" t="s">
        <v>2546</v>
      </c>
      <c r="F5" s="3242"/>
      <c r="G5" s="3212" t="s">
        <v>2547</v>
      </c>
      <c r="H5" s="3213"/>
      <c r="I5" s="3212" t="s">
        <v>2548</v>
      </c>
      <c r="J5" s="3213"/>
      <c r="K5" s="611"/>
      <c r="L5" s="1133"/>
      <c r="M5" s="1134"/>
      <c r="N5" s="1134"/>
      <c r="O5" s="1134"/>
      <c r="P5" s="3204"/>
      <c r="Q5" s="3205"/>
      <c r="R5" s="3210"/>
      <c r="S5" s="3211"/>
      <c r="T5" s="3210"/>
      <c r="U5" s="3211"/>
      <c r="V5" s="3223"/>
      <c r="W5" s="3223"/>
      <c r="X5" s="1816"/>
      <c r="Y5" s="3210"/>
      <c r="Z5" s="3211"/>
      <c r="AA5" s="3196"/>
      <c r="AB5" s="3196"/>
      <c r="AC5" s="3196"/>
    </row>
    <row r="6" spans="1:29" ht="15.75" thickBot="1">
      <c r="A6" s="407"/>
      <c r="B6" s="408"/>
      <c r="C6" s="3263" t="s">
        <v>2800</v>
      </c>
      <c r="D6" s="3264"/>
      <c r="E6" s="3265" t="s">
        <v>2800</v>
      </c>
      <c r="F6" s="3266"/>
      <c r="G6" s="3263" t="s">
        <v>2800</v>
      </c>
      <c r="H6" s="3264"/>
      <c r="I6" s="3263" t="s">
        <v>2800</v>
      </c>
      <c r="J6" s="3264"/>
      <c r="K6" s="611" t="s">
        <v>2550</v>
      </c>
      <c r="L6" s="1133"/>
      <c r="M6" s="1134"/>
      <c r="N6" s="1134"/>
      <c r="O6" s="1134"/>
      <c r="P6" s="3206"/>
      <c r="Q6" s="3207"/>
      <c r="R6" s="3210"/>
      <c r="S6" s="3211"/>
      <c r="T6" s="3221"/>
      <c r="U6" s="3222"/>
      <c r="V6" s="3223"/>
      <c r="W6" s="3223"/>
      <c r="X6" s="1816"/>
      <c r="Y6" s="3221"/>
      <c r="Z6" s="3222"/>
      <c r="AA6" s="3197"/>
      <c r="AB6" s="3197"/>
      <c r="AC6" s="3197"/>
    </row>
    <row r="7" spans="1:29" s="117" customFormat="1" ht="15.75" thickBot="1">
      <c r="A7" s="409" t="s">
        <v>2551</v>
      </c>
      <c r="B7" s="410"/>
      <c r="C7" s="411">
        <f>'数据-取费表'!B2</f>
        <v>43017</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24" t="s">
        <v>2552</v>
      </c>
      <c r="Q7" s="3225"/>
      <c r="R7" s="771" t="s">
        <v>17</v>
      </c>
      <c r="S7" s="772">
        <f t="shared" ref="S7:S15" si="0">F7</f>
        <v>0</v>
      </c>
      <c r="T7" s="771" t="s">
        <v>17</v>
      </c>
      <c r="U7" s="772">
        <f t="shared" ref="U7:U15" si="1">H7</f>
        <v>0</v>
      </c>
      <c r="V7" s="771" t="s">
        <v>17</v>
      </c>
      <c r="W7" s="772">
        <f t="shared" ref="W7:W15" si="2">J7</f>
        <v>0</v>
      </c>
      <c r="X7" s="773"/>
      <c r="Y7" s="3224" t="s">
        <v>2552</v>
      </c>
      <c r="Z7" s="3226"/>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24" t="s">
        <v>2555</v>
      </c>
      <c r="Q8" s="3226"/>
      <c r="R8" s="771" t="s">
        <v>17</v>
      </c>
      <c r="S8" s="772">
        <f t="shared" si="0"/>
        <v>0</v>
      </c>
      <c r="T8" s="771" t="s">
        <v>17</v>
      </c>
      <c r="U8" s="772">
        <f t="shared" si="1"/>
        <v>0</v>
      </c>
      <c r="V8" s="771" t="s">
        <v>17</v>
      </c>
      <c r="W8" s="772">
        <f t="shared" si="2"/>
        <v>0</v>
      </c>
      <c r="X8" s="773"/>
      <c r="Y8" s="3224" t="s">
        <v>2555</v>
      </c>
      <c r="Z8" s="3226"/>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236" t="s">
        <v>2558</v>
      </c>
      <c r="Q9" s="1798" t="str">
        <f t="shared" ref="Q9:Q15" si="6">B9</f>
        <v>用途</v>
      </c>
      <c r="R9" s="771" t="s">
        <v>17</v>
      </c>
      <c r="S9" s="772">
        <f t="shared" si="0"/>
        <v>100</v>
      </c>
      <c r="T9" s="771" t="s">
        <v>17</v>
      </c>
      <c r="U9" s="772">
        <f t="shared" si="1"/>
        <v>100</v>
      </c>
      <c r="V9" s="771" t="s">
        <v>17</v>
      </c>
      <c r="W9" s="772">
        <f t="shared" si="2"/>
        <v>100</v>
      </c>
      <c r="X9" s="773"/>
      <c r="Y9" s="3023"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236"/>
      <c r="Q10" s="1798" t="str">
        <f t="shared" si="6"/>
        <v>土地使用年限（年）</v>
      </c>
      <c r="R10" s="771" t="s">
        <v>17</v>
      </c>
      <c r="S10" s="772">
        <f t="shared" si="0"/>
        <v>105</v>
      </c>
      <c r="T10" s="771" t="s">
        <v>17</v>
      </c>
      <c r="U10" s="772">
        <f t="shared" si="1"/>
        <v>105</v>
      </c>
      <c r="V10" s="771" t="s">
        <v>17</v>
      </c>
      <c r="W10" s="772">
        <f t="shared" si="2"/>
        <v>105</v>
      </c>
      <c r="X10" s="773"/>
      <c r="Y10" s="3023"/>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36"/>
      <c r="Q11" s="1798" t="str">
        <f t="shared" si="6"/>
        <v>容积率</v>
      </c>
      <c r="R11" s="771" t="s">
        <v>17</v>
      </c>
      <c r="S11" s="772" t="e">
        <f t="shared" si="0"/>
        <v>#N/A</v>
      </c>
      <c r="T11" s="771" t="s">
        <v>17</v>
      </c>
      <c r="U11" s="772" t="e">
        <f t="shared" si="1"/>
        <v>#N/A</v>
      </c>
      <c r="V11" s="771" t="s">
        <v>17</v>
      </c>
      <c r="W11" s="772" t="e">
        <f t="shared" si="2"/>
        <v>#N/A</v>
      </c>
      <c r="X11" s="773"/>
      <c r="Y11" s="3023"/>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36"/>
      <c r="Q12" s="1798">
        <f t="shared" si="6"/>
        <v>111</v>
      </c>
      <c r="R12" s="771" t="s">
        <v>17</v>
      </c>
      <c r="S12" s="772">
        <f t="shared" si="0"/>
        <v>100</v>
      </c>
      <c r="T12" s="771" t="s">
        <v>17</v>
      </c>
      <c r="U12" s="772">
        <f t="shared" si="1"/>
        <v>100</v>
      </c>
      <c r="V12" s="771" t="s">
        <v>17</v>
      </c>
      <c r="W12" s="772">
        <f t="shared" si="2"/>
        <v>100</v>
      </c>
      <c r="X12" s="773"/>
      <c r="Y12" s="3023"/>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36"/>
      <c r="Q13" s="1798">
        <f t="shared" si="6"/>
        <v>111</v>
      </c>
      <c r="R13" s="771" t="s">
        <v>17</v>
      </c>
      <c r="S13" s="772">
        <f t="shared" si="0"/>
        <v>100</v>
      </c>
      <c r="T13" s="771" t="s">
        <v>17</v>
      </c>
      <c r="U13" s="772">
        <f t="shared" si="1"/>
        <v>100</v>
      </c>
      <c r="V13" s="771" t="s">
        <v>17</v>
      </c>
      <c r="W13" s="772">
        <f t="shared" si="2"/>
        <v>100</v>
      </c>
      <c r="X13" s="773"/>
      <c r="Y13" s="3023"/>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36"/>
      <c r="Q14" s="1798">
        <f t="shared" si="6"/>
        <v>111</v>
      </c>
      <c r="R14" s="771" t="s">
        <v>17</v>
      </c>
      <c r="S14" s="772">
        <f t="shared" si="0"/>
        <v>100</v>
      </c>
      <c r="T14" s="771" t="s">
        <v>17</v>
      </c>
      <c r="U14" s="772">
        <f t="shared" si="1"/>
        <v>100</v>
      </c>
      <c r="V14" s="771" t="s">
        <v>17</v>
      </c>
      <c r="W14" s="772">
        <f t="shared" si="2"/>
        <v>100</v>
      </c>
      <c r="X14" s="773"/>
      <c r="Y14" s="3023"/>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29" t="s">
        <v>2563</v>
      </c>
      <c r="Q15" s="1813" t="str">
        <f t="shared" si="6"/>
        <v>产业集聚程度</v>
      </c>
      <c r="R15" s="775" t="s">
        <v>17</v>
      </c>
      <c r="S15" s="776">
        <f t="shared" si="0"/>
        <v>100</v>
      </c>
      <c r="T15" s="775" t="s">
        <v>17</v>
      </c>
      <c r="U15" s="776">
        <f t="shared" si="1"/>
        <v>100</v>
      </c>
      <c r="V15" s="775" t="s">
        <v>17</v>
      </c>
      <c r="W15" s="776">
        <f t="shared" si="2"/>
        <v>100</v>
      </c>
      <c r="X15" s="1816"/>
      <c r="Y15" s="3229"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30"/>
      <c r="Q16" s="1813"/>
      <c r="R16" s="775"/>
      <c r="S16" s="776"/>
      <c r="T16" s="775"/>
      <c r="U16" s="776"/>
      <c r="V16" s="775"/>
      <c r="W16" s="776"/>
      <c r="X16" s="1816"/>
      <c r="Y16" s="3230"/>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30"/>
      <c r="Q17" s="1813" t="str">
        <f>B17</f>
        <v>交通便捷度</v>
      </c>
      <c r="R17" s="775" t="s">
        <v>17</v>
      </c>
      <c r="S17" s="776">
        <f>F17</f>
        <v>100</v>
      </c>
      <c r="T17" s="775" t="s">
        <v>17</v>
      </c>
      <c r="U17" s="776">
        <f>H17</f>
        <v>100</v>
      </c>
      <c r="V17" s="775" t="s">
        <v>17</v>
      </c>
      <c r="W17" s="776">
        <f>J17</f>
        <v>100</v>
      </c>
      <c r="X17" s="1816"/>
      <c r="Y17" s="3230"/>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30"/>
      <c r="Q18" s="1813"/>
      <c r="R18" s="775"/>
      <c r="S18" s="776"/>
      <c r="T18" s="775"/>
      <c r="U18" s="776"/>
      <c r="V18" s="775"/>
      <c r="W18" s="776"/>
      <c r="X18" s="1816"/>
      <c r="Y18" s="3230"/>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30"/>
      <c r="Q19" s="1813" t="str">
        <f t="shared" ref="Q19:Q33" si="8">B19</f>
        <v>区域土地利用方向</v>
      </c>
      <c r="R19" s="775" t="s">
        <v>17</v>
      </c>
      <c r="S19" s="776">
        <f>F19</f>
        <v>100</v>
      </c>
      <c r="T19" s="775" t="s">
        <v>17</v>
      </c>
      <c r="U19" s="776">
        <f>H19</f>
        <v>100</v>
      </c>
      <c r="V19" s="775" t="s">
        <v>17</v>
      </c>
      <c r="W19" s="776">
        <f>J19</f>
        <v>100</v>
      </c>
      <c r="X19" s="1816"/>
      <c r="Y19" s="3230"/>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30"/>
      <c r="Q20" s="1813"/>
      <c r="R20" s="775"/>
      <c r="S20" s="776"/>
      <c r="T20" s="775"/>
      <c r="U20" s="776"/>
      <c r="V20" s="775"/>
      <c r="W20" s="776"/>
      <c r="X20" s="1816"/>
      <c r="Y20" s="3230"/>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30"/>
      <c r="Q21" s="1813" t="str">
        <f t="shared" si="8"/>
        <v>环境状况</v>
      </c>
      <c r="R21" s="775" t="s">
        <v>17</v>
      </c>
      <c r="S21" s="776">
        <f>F21</f>
        <v>100</v>
      </c>
      <c r="T21" s="775" t="s">
        <v>17</v>
      </c>
      <c r="U21" s="776">
        <f>H21</f>
        <v>100</v>
      </c>
      <c r="V21" s="775" t="s">
        <v>17</v>
      </c>
      <c r="W21" s="776">
        <f>J21</f>
        <v>100</v>
      </c>
      <c r="X21" s="1816"/>
      <c r="Y21" s="3230"/>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30"/>
      <c r="Q22" s="1813"/>
      <c r="R22" s="775"/>
      <c r="S22" s="776"/>
      <c r="T22" s="775"/>
      <c r="U22" s="776"/>
      <c r="V22" s="775"/>
      <c r="W22" s="776"/>
      <c r="X22" s="1816"/>
      <c r="Y22" s="3230"/>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30"/>
      <c r="Q23" s="1798" t="str">
        <f t="shared" si="8"/>
        <v>公共配套设施</v>
      </c>
      <c r="R23" s="771" t="s">
        <v>17</v>
      </c>
      <c r="S23" s="772">
        <f>F23</f>
        <v>100</v>
      </c>
      <c r="T23" s="771" t="s">
        <v>17</v>
      </c>
      <c r="U23" s="772">
        <f>H23</f>
        <v>100</v>
      </c>
      <c r="V23" s="771" t="s">
        <v>17</v>
      </c>
      <c r="W23" s="772">
        <f>J23</f>
        <v>100</v>
      </c>
      <c r="X23" s="773"/>
      <c r="Y23" s="3230"/>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30"/>
      <c r="Q24" s="1798"/>
      <c r="R24" s="771"/>
      <c r="S24" s="772"/>
      <c r="T24" s="771"/>
      <c r="U24" s="772"/>
      <c r="V24" s="771"/>
      <c r="W24" s="772"/>
      <c r="X24" s="773"/>
      <c r="Y24" s="3230"/>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30"/>
      <c r="Q25" s="1798" t="str">
        <f t="shared" ref="Q25" si="9">B25</f>
        <v>基础设施水平</v>
      </c>
      <c r="R25" s="771" t="s">
        <v>17</v>
      </c>
      <c r="S25" s="772">
        <f>F25</f>
        <v>100</v>
      </c>
      <c r="T25" s="771" t="s">
        <v>17</v>
      </c>
      <c r="U25" s="772">
        <f>H25</f>
        <v>100</v>
      </c>
      <c r="V25" s="771" t="s">
        <v>17</v>
      </c>
      <c r="W25" s="772">
        <f>J25</f>
        <v>100</v>
      </c>
      <c r="X25" s="773"/>
      <c r="Y25" s="3230"/>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30"/>
      <c r="Q26" s="1798"/>
      <c r="R26" s="771"/>
      <c r="S26" s="772"/>
      <c r="T26" s="771"/>
      <c r="U26" s="772"/>
      <c r="V26" s="771"/>
      <c r="W26" s="772"/>
      <c r="X26" s="773"/>
      <c r="Y26" s="3230"/>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30"/>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30"/>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30"/>
      <c r="Q28" s="1813" t="str">
        <f t="shared" si="8"/>
        <v>毗邻道路的类型与等级</v>
      </c>
      <c r="R28" s="775" t="s">
        <v>17</v>
      </c>
      <c r="S28" s="776">
        <f t="shared" si="10"/>
        <v>100</v>
      </c>
      <c r="T28" s="775" t="s">
        <v>17</v>
      </c>
      <c r="U28" s="776">
        <f t="shared" si="11"/>
        <v>100</v>
      </c>
      <c r="V28" s="775" t="s">
        <v>17</v>
      </c>
      <c r="W28" s="776">
        <f t="shared" si="12"/>
        <v>100</v>
      </c>
      <c r="X28" s="1816"/>
      <c r="Y28" s="3230"/>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30"/>
      <c r="Q29" s="1813"/>
      <c r="R29" s="775"/>
      <c r="S29" s="776"/>
      <c r="T29" s="775"/>
      <c r="U29" s="776"/>
      <c r="V29" s="775"/>
      <c r="W29" s="776"/>
      <c r="X29" s="1816"/>
      <c r="Y29" s="3230"/>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30"/>
      <c r="Q30" s="1813" t="str">
        <f t="shared" si="8"/>
        <v>土地级别</v>
      </c>
      <c r="R30" s="775" t="s">
        <v>17</v>
      </c>
      <c r="S30" s="776">
        <f t="shared" si="10"/>
        <v>100</v>
      </c>
      <c r="T30" s="775" t="s">
        <v>17</v>
      </c>
      <c r="U30" s="776">
        <f t="shared" si="11"/>
        <v>100</v>
      </c>
      <c r="V30" s="775" t="s">
        <v>17</v>
      </c>
      <c r="W30" s="776">
        <f t="shared" si="12"/>
        <v>100</v>
      </c>
      <c r="X30" s="1816"/>
      <c r="Y30" s="3230"/>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30"/>
      <c r="Q31" s="1813">
        <f t="shared" si="8"/>
        <v>111</v>
      </c>
      <c r="R31" s="775" t="s">
        <v>17</v>
      </c>
      <c r="S31" s="776">
        <f t="shared" si="10"/>
        <v>100</v>
      </c>
      <c r="T31" s="775" t="s">
        <v>17</v>
      </c>
      <c r="U31" s="776">
        <f t="shared" si="11"/>
        <v>100</v>
      </c>
      <c r="V31" s="775" t="s">
        <v>17</v>
      </c>
      <c r="W31" s="776">
        <f t="shared" si="12"/>
        <v>100</v>
      </c>
      <c r="X31" s="1816"/>
      <c r="Y31" s="3230"/>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58" t="s">
        <v>2568</v>
      </c>
      <c r="Q32" s="1813">
        <f t="shared" si="8"/>
        <v>111</v>
      </c>
      <c r="R32" s="775" t="s">
        <v>17</v>
      </c>
      <c r="S32" s="776">
        <f t="shared" si="10"/>
        <v>100</v>
      </c>
      <c r="T32" s="775" t="s">
        <v>17</v>
      </c>
      <c r="U32" s="776">
        <f t="shared" si="11"/>
        <v>100</v>
      </c>
      <c r="V32" s="775" t="s">
        <v>17</v>
      </c>
      <c r="W32" s="776">
        <f t="shared" si="12"/>
        <v>100</v>
      </c>
      <c r="X32" s="1816"/>
      <c r="Y32" s="3234"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34"/>
      <c r="Q33" s="1813">
        <f t="shared" si="8"/>
        <v>111</v>
      </c>
      <c r="R33" s="778" t="s">
        <v>17</v>
      </c>
      <c r="S33" s="779">
        <f t="shared" si="10"/>
        <v>100</v>
      </c>
      <c r="T33" s="778" t="s">
        <v>17</v>
      </c>
      <c r="U33" s="779">
        <f t="shared" si="11"/>
        <v>100</v>
      </c>
      <c r="V33" s="778" t="s">
        <v>17</v>
      </c>
      <c r="W33" s="779">
        <f t="shared" si="12"/>
        <v>100</v>
      </c>
      <c r="X33" s="780"/>
      <c r="Y33" s="3234"/>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34"/>
      <c r="Q34" s="1813" t="str">
        <f>B34</f>
        <v>宗地面积</v>
      </c>
      <c r="R34" s="775" t="s">
        <v>17</v>
      </c>
      <c r="S34" s="776" t="e">
        <f t="shared" si="10"/>
        <v>#N/A</v>
      </c>
      <c r="T34" s="775" t="s">
        <v>17</v>
      </c>
      <c r="U34" s="776" t="e">
        <f t="shared" si="11"/>
        <v>#N/A</v>
      </c>
      <c r="V34" s="775" t="s">
        <v>17</v>
      </c>
      <c r="W34" s="776" t="e">
        <f t="shared" si="12"/>
        <v>#N/A</v>
      </c>
      <c r="X34" s="1816"/>
      <c r="Y34" s="3234"/>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34"/>
      <c r="Q35" s="1813" t="str">
        <f t="shared" ref="Q35:Q40" si="14">B35</f>
        <v>宗地形状</v>
      </c>
      <c r="R35" s="775" t="s">
        <v>17</v>
      </c>
      <c r="S35" s="776">
        <f t="shared" si="10"/>
        <v>100</v>
      </c>
      <c r="T35" s="775" t="s">
        <v>17</v>
      </c>
      <c r="U35" s="776">
        <f t="shared" si="11"/>
        <v>100</v>
      </c>
      <c r="V35" s="775" t="s">
        <v>17</v>
      </c>
      <c r="W35" s="776">
        <f t="shared" si="12"/>
        <v>100</v>
      </c>
      <c r="X35" s="1816"/>
      <c r="Y35" s="3234"/>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34"/>
      <c r="Q36" s="1813" t="str">
        <f t="shared" si="14"/>
        <v>宗地开发程度</v>
      </c>
      <c r="R36" s="771" t="s">
        <v>17</v>
      </c>
      <c r="S36" s="772">
        <f t="shared" si="10"/>
        <v>100</v>
      </c>
      <c r="T36" s="771" t="s">
        <v>17</v>
      </c>
      <c r="U36" s="772">
        <f t="shared" si="11"/>
        <v>100</v>
      </c>
      <c r="V36" s="771" t="s">
        <v>17</v>
      </c>
      <c r="W36" s="772">
        <f t="shared" si="12"/>
        <v>100</v>
      </c>
      <c r="X36" s="773"/>
      <c r="Y36" s="3234"/>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34" t="s">
        <v>2568</v>
      </c>
      <c r="Q37" s="1813" t="str">
        <f t="shared" si="14"/>
        <v>工程地质条件</v>
      </c>
      <c r="R37" s="775" t="s">
        <v>17</v>
      </c>
      <c r="S37" s="776">
        <f t="shared" si="10"/>
        <v>100</v>
      </c>
      <c r="T37" s="775" t="s">
        <v>17</v>
      </c>
      <c r="U37" s="776">
        <f t="shared" si="11"/>
        <v>100</v>
      </c>
      <c r="V37" s="775" t="s">
        <v>17</v>
      </c>
      <c r="W37" s="776">
        <f t="shared" si="12"/>
        <v>100</v>
      </c>
      <c r="X37" s="1816"/>
      <c r="Y37" s="3234"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34"/>
      <c r="Q38" s="1813">
        <f t="shared" si="14"/>
        <v>111</v>
      </c>
      <c r="R38" s="775" t="s">
        <v>17</v>
      </c>
      <c r="S38" s="776">
        <f t="shared" si="10"/>
        <v>100</v>
      </c>
      <c r="T38" s="775" t="s">
        <v>17</v>
      </c>
      <c r="U38" s="776">
        <f t="shared" si="11"/>
        <v>100</v>
      </c>
      <c r="V38" s="775" t="s">
        <v>17</v>
      </c>
      <c r="W38" s="776">
        <f t="shared" si="12"/>
        <v>100</v>
      </c>
      <c r="X38" s="1816"/>
      <c r="Y38" s="3234"/>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34"/>
      <c r="Q39" s="1813">
        <f t="shared" si="14"/>
        <v>111</v>
      </c>
      <c r="R39" s="775" t="s">
        <v>17</v>
      </c>
      <c r="S39" s="776">
        <f t="shared" si="10"/>
        <v>100</v>
      </c>
      <c r="T39" s="775" t="s">
        <v>17</v>
      </c>
      <c r="U39" s="776">
        <f t="shared" si="11"/>
        <v>100</v>
      </c>
      <c r="V39" s="775" t="s">
        <v>17</v>
      </c>
      <c r="W39" s="776">
        <f t="shared" si="12"/>
        <v>100</v>
      </c>
      <c r="X39" s="1816"/>
      <c r="Y39" s="3234"/>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34"/>
      <c r="Q40" s="1813">
        <f t="shared" si="14"/>
        <v>111</v>
      </c>
      <c r="R40" s="778" t="s">
        <v>17</v>
      </c>
      <c r="S40" s="779">
        <f t="shared" si="10"/>
        <v>100</v>
      </c>
      <c r="T40" s="778" t="s">
        <v>17</v>
      </c>
      <c r="U40" s="779">
        <f t="shared" si="11"/>
        <v>100</v>
      </c>
      <c r="V40" s="778" t="s">
        <v>17</v>
      </c>
      <c r="W40" s="779">
        <f t="shared" si="12"/>
        <v>100</v>
      </c>
      <c r="X40" s="780"/>
      <c r="Y40" s="3234"/>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236" t="str">
        <f>A41</f>
        <v>成交单价</v>
      </c>
      <c r="Q41" s="3236"/>
      <c r="R41" s="3223">
        <f>E41</f>
        <v>0</v>
      </c>
      <c r="S41" s="3223"/>
      <c r="T41" s="3223">
        <f>G41</f>
        <v>0</v>
      </c>
      <c r="U41" s="3223"/>
      <c r="V41" s="3223">
        <f>I41</f>
        <v>0</v>
      </c>
      <c r="W41" s="3223"/>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236" t="str">
        <f>A42</f>
        <v>比较价值（元/平方米）</v>
      </c>
      <c r="Q42" s="3236"/>
      <c r="R42" s="3259" t="e">
        <f>ROUND(PRODUCT(R41,AA7:AA40),0)</f>
        <v>#DIV/0!</v>
      </c>
      <c r="S42" s="3259"/>
      <c r="T42" s="3259" t="e">
        <f>ROUND(PRODUCT(T41,AB7:AB40),0)</f>
        <v>#DIV/0!</v>
      </c>
      <c r="U42" s="3259"/>
      <c r="V42" s="3259" t="e">
        <f>ROUND(PRODUCT(V41,AC7:AC40),0)</f>
        <v>#DIV/0!</v>
      </c>
      <c r="W42" s="3259"/>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238" t="str">
        <f>A43</f>
        <v>估价对象XX用房的比较价值（楼面单价，元/平方米）</v>
      </c>
      <c r="Q43" s="3239"/>
      <c r="R43" s="3260" t="e">
        <f>ROUND(AVERAGE(R42:V42),0)</f>
        <v>#DIV/0!</v>
      </c>
      <c r="S43" s="3260"/>
      <c r="T43" s="3260"/>
      <c r="U43" s="3260"/>
      <c r="V43" s="3260"/>
      <c r="W43" s="3260"/>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198" t="s">
        <v>2767</v>
      </c>
      <c r="H50" s="3261"/>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220"/>
      <c r="H51" s="3236"/>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62"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62"/>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62"/>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62"/>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70"/>
      <c r="B4" s="3271"/>
      <c r="C4" s="3271"/>
      <c r="D4" s="3272"/>
      <c r="E4" s="3272"/>
      <c r="F4" s="3272"/>
      <c r="G4" s="3272"/>
      <c r="H4" s="3272"/>
      <c r="I4" s="3272"/>
      <c r="J4" s="3273"/>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74"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75"/>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67" t="s">
        <v>2843</v>
      </c>
      <c r="X8" s="3268"/>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75"/>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69"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75"/>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69"/>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75"/>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69"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74"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69"/>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76"/>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69"/>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76"/>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77"/>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74"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75"/>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43017</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84"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5"/>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5"/>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86"/>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78" t="s">
        <v>2977</v>
      </c>
      <c r="B90" s="3278"/>
      <c r="C90" s="3278"/>
      <c r="D90" s="3278"/>
      <c r="E90" s="3278"/>
      <c r="F90" s="3278"/>
      <c r="G90" s="3278"/>
      <c r="H90" s="3278"/>
      <c r="I90" s="3278"/>
      <c r="J90" s="3278"/>
      <c r="K90" s="2893"/>
      <c r="L90" s="2893"/>
      <c r="M90" s="2893"/>
      <c r="N90" s="2893"/>
    </row>
    <row r="91" spans="1:37">
      <c r="A91" s="3280" t="s">
        <v>2978</v>
      </c>
      <c r="B91" s="3280" t="s">
        <v>2979</v>
      </c>
      <c r="C91" s="2847" t="s">
        <v>2980</v>
      </c>
      <c r="D91" s="2848"/>
      <c r="E91" s="2848"/>
      <c r="F91" s="2848"/>
      <c r="G91" s="2848"/>
      <c r="H91" s="2848"/>
      <c r="I91" s="2848"/>
      <c r="J91" s="2894"/>
      <c r="K91" s="2895"/>
      <c r="L91" s="2895"/>
      <c r="M91" s="2895"/>
      <c r="N91" s="2895"/>
    </row>
    <row r="92" spans="1:37">
      <c r="A92" s="3280"/>
      <c r="B92" s="3280"/>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81"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2"/>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1"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2"/>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2"/>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2"/>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2"/>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2"/>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2"/>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2"/>
      <c r="B108" s="3138"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3"/>
      <c r="B109" s="3139"/>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79" t="s">
        <v>2985</v>
      </c>
      <c r="B110" s="3279"/>
      <c r="C110" s="3279"/>
      <c r="D110" s="3279"/>
      <c r="E110" s="3279"/>
      <c r="F110" s="3279"/>
      <c r="G110" s="3279"/>
      <c r="H110" s="3279"/>
      <c r="I110" s="3279"/>
      <c r="J110" s="3279"/>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87" t="s">
        <v>183</v>
      </c>
      <c r="B18" s="883" t="s">
        <v>560</v>
      </c>
      <c r="C18" s="884" t="s">
        <v>561</v>
      </c>
      <c r="D18" s="885"/>
      <c r="E18" s="883">
        <v>1</v>
      </c>
      <c r="F18" s="886" t="s">
        <v>562</v>
      </c>
      <c r="G18" s="887"/>
      <c r="H18" s="879"/>
      <c r="I18" s="879"/>
    </row>
    <row r="19" spans="1:9" s="888" customFormat="1" ht="19.5" customHeight="1">
      <c r="A19" s="3287"/>
      <c r="B19" s="3287" t="s">
        <v>563</v>
      </c>
      <c r="C19" s="884" t="s">
        <v>564</v>
      </c>
      <c r="D19" s="885"/>
      <c r="E19" s="883">
        <v>0.9</v>
      </c>
      <c r="F19" s="886" t="s">
        <v>565</v>
      </c>
      <c r="G19" s="887"/>
      <c r="H19" s="879"/>
      <c r="I19" s="879"/>
    </row>
    <row r="20" spans="1:9" s="888" customFormat="1" ht="19.5" customHeight="1">
      <c r="A20" s="3287"/>
      <c r="B20" s="3287"/>
      <c r="C20" s="884" t="s">
        <v>566</v>
      </c>
      <c r="D20" s="885"/>
      <c r="E20" s="883">
        <v>1.1000000000000001</v>
      </c>
      <c r="F20" s="886" t="s">
        <v>567</v>
      </c>
      <c r="G20" s="887"/>
      <c r="H20" s="879"/>
      <c r="I20" s="879"/>
    </row>
    <row r="21" spans="1:9" s="888" customFormat="1" ht="19.5" customHeight="1">
      <c r="A21" s="3287"/>
      <c r="B21" s="3287"/>
      <c r="C21" s="884" t="s">
        <v>568</v>
      </c>
      <c r="D21" s="885"/>
      <c r="E21" s="883">
        <v>0.8</v>
      </c>
      <c r="F21" s="886" t="s">
        <v>569</v>
      </c>
      <c r="G21" s="887"/>
      <c r="H21" s="879"/>
      <c r="I21" s="879"/>
    </row>
    <row r="22" spans="1:9" s="888" customFormat="1" ht="19.5" customHeight="1">
      <c r="A22" s="3287"/>
      <c r="B22" s="3287"/>
      <c r="C22" s="884" t="s">
        <v>570</v>
      </c>
      <c r="D22" s="885"/>
      <c r="E22" s="883">
        <v>0.5</v>
      </c>
      <c r="F22" s="886"/>
      <c r="G22" s="887"/>
      <c r="H22" s="879"/>
      <c r="I22" s="879"/>
    </row>
    <row r="23" spans="1:9" s="888" customFormat="1" ht="19.5" customHeight="1">
      <c r="A23" s="3287" t="s">
        <v>184</v>
      </c>
      <c r="B23" s="883" t="s">
        <v>560</v>
      </c>
      <c r="C23" s="884" t="s">
        <v>571</v>
      </c>
      <c r="D23" s="885"/>
      <c r="E23" s="883">
        <v>1</v>
      </c>
      <c r="F23" s="886" t="s">
        <v>572</v>
      </c>
      <c r="G23" s="887"/>
      <c r="H23" s="879"/>
      <c r="I23" s="879"/>
    </row>
    <row r="24" spans="1:9" s="888" customFormat="1" ht="19.5" customHeight="1">
      <c r="A24" s="3287"/>
      <c r="B24" s="3287" t="s">
        <v>563</v>
      </c>
      <c r="C24" s="884" t="s">
        <v>573</v>
      </c>
      <c r="D24" s="885"/>
      <c r="E24" s="883">
        <v>0.5</v>
      </c>
      <c r="F24" s="886"/>
      <c r="G24" s="887"/>
      <c r="H24" s="879"/>
      <c r="I24" s="879"/>
    </row>
    <row r="25" spans="1:9" s="888" customFormat="1" ht="19.5" customHeight="1">
      <c r="A25" s="3287"/>
      <c r="B25" s="3287"/>
      <c r="C25" s="884" t="s">
        <v>574</v>
      </c>
      <c r="D25" s="885"/>
      <c r="E25" s="883">
        <v>1.1000000000000001</v>
      </c>
      <c r="F25" s="886"/>
      <c r="G25" s="887"/>
      <c r="H25" s="879"/>
      <c r="I25" s="879"/>
    </row>
    <row r="26" spans="1:9" s="888" customFormat="1" ht="19.5" customHeight="1">
      <c r="A26" s="3287"/>
      <c r="B26" s="3287"/>
      <c r="C26" s="884" t="s">
        <v>575</v>
      </c>
      <c r="D26" s="885"/>
      <c r="E26" s="883">
        <v>1.1000000000000001</v>
      </c>
      <c r="F26" s="886"/>
      <c r="G26" s="887"/>
      <c r="H26" s="879"/>
      <c r="I26" s="879"/>
    </row>
    <row r="27" spans="1:9" s="888" customFormat="1" ht="19.5" customHeight="1">
      <c r="A27" s="3287"/>
      <c r="B27" s="3287"/>
      <c r="C27" s="884" t="s">
        <v>576</v>
      </c>
      <c r="D27" s="885"/>
      <c r="E27" s="883">
        <v>0.9</v>
      </c>
      <c r="F27" s="886" t="s">
        <v>577</v>
      </c>
      <c r="G27" s="887"/>
      <c r="H27" s="879"/>
      <c r="I27" s="879"/>
    </row>
    <row r="28" spans="1:9" s="888" customFormat="1" ht="19.5" customHeight="1">
      <c r="A28" s="3287"/>
      <c r="B28" s="3287"/>
      <c r="C28" s="884" t="s">
        <v>578</v>
      </c>
      <c r="D28" s="885"/>
      <c r="E28" s="883">
        <v>0.9</v>
      </c>
      <c r="F28" s="886" t="s">
        <v>579</v>
      </c>
      <c r="G28" s="887"/>
      <c r="H28" s="879"/>
      <c r="I28" s="879"/>
    </row>
    <row r="29" spans="1:9" s="888" customFormat="1" ht="19.5" customHeight="1">
      <c r="A29" s="3287"/>
      <c r="B29" s="3287"/>
      <c r="C29" s="884" t="s">
        <v>580</v>
      </c>
      <c r="D29" s="885"/>
      <c r="E29" s="883">
        <v>0.9</v>
      </c>
      <c r="F29" s="886" t="s">
        <v>581</v>
      </c>
      <c r="G29" s="887"/>
      <c r="H29" s="879"/>
      <c r="I29" s="879"/>
    </row>
    <row r="30" spans="1:9" s="888" customFormat="1" ht="19.5" customHeight="1">
      <c r="A30" s="3287"/>
      <c r="B30" s="3287"/>
      <c r="C30" s="884" t="s">
        <v>582</v>
      </c>
      <c r="D30" s="885"/>
      <c r="E30" s="883">
        <v>0.9</v>
      </c>
      <c r="F30" s="886" t="s">
        <v>583</v>
      </c>
      <c r="G30" s="887"/>
      <c r="H30" s="879"/>
      <c r="I30" s="879"/>
    </row>
    <row r="31" spans="1:9" s="888" customFormat="1" ht="19.5" customHeight="1">
      <c r="A31" s="3287"/>
      <c r="B31" s="3287"/>
      <c r="C31" s="884" t="s">
        <v>584</v>
      </c>
      <c r="D31" s="885"/>
      <c r="E31" s="883">
        <v>0.8</v>
      </c>
      <c r="F31" s="886" t="s">
        <v>585</v>
      </c>
      <c r="G31" s="887"/>
      <c r="H31" s="879"/>
      <c r="I31" s="879"/>
    </row>
    <row r="32" spans="1:9" s="888" customFormat="1" ht="19.5" customHeight="1">
      <c r="A32" s="3287"/>
      <c r="B32" s="3287"/>
      <c r="C32" s="884" t="s">
        <v>586</v>
      </c>
      <c r="D32" s="885"/>
      <c r="E32" s="883">
        <v>0.8</v>
      </c>
      <c r="F32" s="886" t="s">
        <v>587</v>
      </c>
      <c r="G32" s="887"/>
      <c r="H32" s="879"/>
      <c r="I32" s="879"/>
    </row>
    <row r="33" spans="1:9" s="888" customFormat="1" ht="19.5" customHeight="1">
      <c r="A33" s="3287" t="s">
        <v>185</v>
      </c>
      <c r="B33" s="883" t="s">
        <v>560</v>
      </c>
      <c r="C33" s="884" t="s">
        <v>588</v>
      </c>
      <c r="D33" s="885"/>
      <c r="E33" s="883">
        <v>1</v>
      </c>
      <c r="F33" s="886" t="s">
        <v>589</v>
      </c>
      <c r="G33" s="887"/>
      <c r="H33" s="879"/>
      <c r="I33" s="879"/>
    </row>
    <row r="34" spans="1:9" s="888" customFormat="1" ht="19.5" customHeight="1">
      <c r="A34" s="3287"/>
      <c r="B34" s="883" t="s">
        <v>563</v>
      </c>
      <c r="C34" s="884" t="s">
        <v>590</v>
      </c>
      <c r="D34" s="885"/>
      <c r="E34" s="883">
        <v>1.5</v>
      </c>
      <c r="F34" s="886" t="s">
        <v>591</v>
      </c>
      <c r="G34" s="887"/>
      <c r="H34" s="879"/>
      <c r="I34" s="879"/>
    </row>
    <row r="35" spans="1:9" s="888" customFormat="1" ht="19.5" customHeight="1">
      <c r="A35" s="3287" t="s">
        <v>186</v>
      </c>
      <c r="B35" s="883" t="s">
        <v>560</v>
      </c>
      <c r="C35" s="884" t="s">
        <v>592</v>
      </c>
      <c r="D35" s="885"/>
      <c r="E35" s="883">
        <v>1</v>
      </c>
      <c r="F35" s="886" t="s">
        <v>593</v>
      </c>
      <c r="G35" s="887"/>
      <c r="H35" s="879"/>
      <c r="I35" s="879"/>
    </row>
    <row r="36" spans="1:9" s="888" customFormat="1" ht="19.5" customHeight="1">
      <c r="A36" s="3287"/>
      <c r="B36" s="3287" t="s">
        <v>563</v>
      </c>
      <c r="C36" s="884" t="s">
        <v>594</v>
      </c>
      <c r="D36" s="885"/>
      <c r="E36" s="883">
        <v>1</v>
      </c>
      <c r="F36" s="886" t="s">
        <v>595</v>
      </c>
      <c r="G36" s="887"/>
      <c r="H36" s="879"/>
      <c r="I36" s="879"/>
    </row>
    <row r="37" spans="1:9" s="888" customFormat="1" ht="19.5" customHeight="1">
      <c r="A37" s="3287"/>
      <c r="B37" s="3287"/>
      <c r="C37" s="884" t="s">
        <v>596</v>
      </c>
      <c r="D37" s="885"/>
      <c r="E37" s="883">
        <v>1.5</v>
      </c>
      <c r="F37" s="886" t="s">
        <v>597</v>
      </c>
      <c r="G37" s="887"/>
      <c r="H37" s="879"/>
      <c r="I37" s="879"/>
    </row>
    <row r="38" spans="1:9" s="888" customFormat="1" ht="19.5" customHeight="1">
      <c r="A38" s="3287"/>
      <c r="B38" s="3287"/>
      <c r="C38" s="884" t="s">
        <v>598</v>
      </c>
      <c r="D38" s="885"/>
      <c r="E38" s="883">
        <v>1</v>
      </c>
      <c r="F38" s="886" t="s">
        <v>599</v>
      </c>
      <c r="G38" s="887"/>
      <c r="H38" s="879"/>
      <c r="I38" s="879"/>
    </row>
    <row r="39" spans="1:9" s="888" customFormat="1" ht="19.5" customHeight="1">
      <c r="A39" s="3287"/>
      <c r="B39" s="328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87" t="s">
        <v>614</v>
      </c>
      <c r="C61" s="819" t="s">
        <v>615</v>
      </c>
      <c r="D61" s="819" t="s">
        <v>616</v>
      </c>
      <c r="E61" s="896">
        <v>0.5</v>
      </c>
      <c r="F61" s="883">
        <v>80</v>
      </c>
    </row>
    <row r="62" spans="1:8" s="879" customFormat="1" ht="24">
      <c r="A62" s="883">
        <v>2</v>
      </c>
      <c r="B62" s="3287"/>
      <c r="C62" s="819" t="s">
        <v>617</v>
      </c>
      <c r="D62" s="819" t="s">
        <v>618</v>
      </c>
      <c r="E62" s="896">
        <v>0.5</v>
      </c>
      <c r="F62" s="883">
        <v>80</v>
      </c>
    </row>
    <row r="63" spans="1:8" s="879" customFormat="1" ht="36">
      <c r="A63" s="883">
        <v>3</v>
      </c>
      <c r="B63" s="3287"/>
      <c r="C63" s="819" t="s">
        <v>619</v>
      </c>
      <c r="D63" s="819" t="s">
        <v>620</v>
      </c>
      <c r="E63" s="896">
        <v>0.5</v>
      </c>
      <c r="F63" s="883">
        <v>80</v>
      </c>
    </row>
    <row r="64" spans="1:8" s="879" customFormat="1" ht="36">
      <c r="A64" s="883">
        <v>4</v>
      </c>
      <c r="B64" s="3287"/>
      <c r="C64" s="819" t="s">
        <v>621</v>
      </c>
      <c r="D64" s="819" t="s">
        <v>622</v>
      </c>
      <c r="E64" s="896">
        <v>0.4</v>
      </c>
      <c r="F64" s="883">
        <v>60</v>
      </c>
    </row>
    <row r="65" spans="1:6" s="879" customFormat="1" ht="36">
      <c r="A65" s="883">
        <v>5</v>
      </c>
      <c r="B65" s="3287"/>
      <c r="C65" s="819" t="s">
        <v>623</v>
      </c>
      <c r="D65" s="819" t="s">
        <v>624</v>
      </c>
      <c r="E65" s="896">
        <v>0.2</v>
      </c>
      <c r="F65" s="883">
        <v>30</v>
      </c>
    </row>
    <row r="66" spans="1:6" s="879" customFormat="1" ht="36">
      <c r="A66" s="883">
        <v>6</v>
      </c>
      <c r="B66" s="3287"/>
      <c r="C66" s="819" t="s">
        <v>625</v>
      </c>
      <c r="D66" s="819" t="s">
        <v>626</v>
      </c>
      <c r="E66" s="896">
        <v>0.3</v>
      </c>
      <c r="F66" s="883">
        <v>50</v>
      </c>
    </row>
    <row r="67" spans="1:6" s="879" customFormat="1" ht="36">
      <c r="A67" s="883">
        <v>7</v>
      </c>
      <c r="B67" s="3287"/>
      <c r="C67" s="819" t="s">
        <v>627</v>
      </c>
      <c r="D67" s="819" t="s">
        <v>628</v>
      </c>
      <c r="E67" s="896">
        <v>0.2</v>
      </c>
      <c r="F67" s="883">
        <v>30</v>
      </c>
    </row>
    <row r="68" spans="1:6" s="879" customFormat="1" ht="36">
      <c r="A68" s="883">
        <v>8</v>
      </c>
      <c r="B68" s="3287"/>
      <c r="C68" s="819" t="s">
        <v>629</v>
      </c>
      <c r="D68" s="819" t="s">
        <v>630</v>
      </c>
      <c r="E68" s="896">
        <v>0.2</v>
      </c>
      <c r="F68" s="883">
        <v>30</v>
      </c>
    </row>
    <row r="69" spans="1:6" s="879" customFormat="1" ht="36">
      <c r="A69" s="883">
        <v>9</v>
      </c>
      <c r="B69" s="3287"/>
      <c r="C69" s="819" t="s">
        <v>631</v>
      </c>
      <c r="D69" s="819" t="s">
        <v>632</v>
      </c>
      <c r="E69" s="896">
        <v>0.2</v>
      </c>
      <c r="F69" s="883">
        <v>30</v>
      </c>
    </row>
    <row r="70" spans="1:6" s="879" customFormat="1" ht="48">
      <c r="A70" s="883">
        <v>10</v>
      </c>
      <c r="B70" s="3287"/>
      <c r="C70" s="819" t="s">
        <v>633</v>
      </c>
      <c r="D70" s="819" t="s">
        <v>634</v>
      </c>
      <c r="E70" s="896">
        <v>0.2</v>
      </c>
      <c r="F70" s="883">
        <v>30</v>
      </c>
    </row>
    <row r="71" spans="1:6" s="879" customFormat="1" ht="48">
      <c r="A71" s="883">
        <v>11</v>
      </c>
      <c r="B71" s="3287"/>
      <c r="C71" s="819" t="s">
        <v>635</v>
      </c>
      <c r="D71" s="819" t="s">
        <v>636</v>
      </c>
      <c r="E71" s="896">
        <v>0.2</v>
      </c>
      <c r="F71" s="883">
        <v>30</v>
      </c>
    </row>
    <row r="72" spans="1:6" s="879" customFormat="1" ht="36">
      <c r="A72" s="883">
        <v>12</v>
      </c>
      <c r="B72" s="3287"/>
      <c r="C72" s="819" t="s">
        <v>637</v>
      </c>
      <c r="D72" s="819" t="s">
        <v>638</v>
      </c>
      <c r="E72" s="896">
        <v>0.5</v>
      </c>
      <c r="F72" s="883">
        <v>80</v>
      </c>
    </row>
    <row r="73" spans="1:6" s="879" customFormat="1" ht="24">
      <c r="A73" s="883">
        <v>13</v>
      </c>
      <c r="B73" s="3287"/>
      <c r="C73" s="819" t="s">
        <v>639</v>
      </c>
      <c r="D73" s="819" t="s">
        <v>640</v>
      </c>
      <c r="E73" s="896">
        <v>0.4</v>
      </c>
      <c r="F73" s="883">
        <v>60</v>
      </c>
    </row>
    <row r="74" spans="1:6" s="879" customFormat="1" ht="24">
      <c r="A74" s="883">
        <v>14</v>
      </c>
      <c r="B74" s="3287"/>
      <c r="C74" s="819" t="s">
        <v>641</v>
      </c>
      <c r="D74" s="819" t="s">
        <v>642</v>
      </c>
      <c r="E74" s="896">
        <v>0.2</v>
      </c>
      <c r="F74" s="883">
        <v>30</v>
      </c>
    </row>
    <row r="75" spans="1:6" s="879" customFormat="1" ht="24">
      <c r="A75" s="883">
        <v>15</v>
      </c>
      <c r="B75" s="3287"/>
      <c r="C75" s="819" t="s">
        <v>643</v>
      </c>
      <c r="D75" s="819" t="s">
        <v>644</v>
      </c>
      <c r="E75" s="896">
        <v>0.2</v>
      </c>
      <c r="F75" s="883">
        <v>30</v>
      </c>
    </row>
    <row r="76" spans="1:6" s="879" customFormat="1" ht="24">
      <c r="A76" s="883">
        <v>16</v>
      </c>
      <c r="B76" s="3287" t="s">
        <v>645</v>
      </c>
      <c r="C76" s="819" t="s">
        <v>646</v>
      </c>
      <c r="D76" s="819" t="s">
        <v>647</v>
      </c>
      <c r="E76" s="896">
        <v>0.5</v>
      </c>
      <c r="F76" s="883">
        <v>80</v>
      </c>
    </row>
    <row r="77" spans="1:6" s="879" customFormat="1" ht="24">
      <c r="A77" s="883">
        <v>17</v>
      </c>
      <c r="B77" s="3287"/>
      <c r="C77" s="819" t="s">
        <v>648</v>
      </c>
      <c r="D77" s="819" t="s">
        <v>649</v>
      </c>
      <c r="E77" s="896">
        <v>0.5</v>
      </c>
      <c r="F77" s="883">
        <v>80</v>
      </c>
    </row>
    <row r="78" spans="1:6" s="879" customFormat="1" ht="24">
      <c r="A78" s="883">
        <v>18</v>
      </c>
      <c r="B78" s="3287"/>
      <c r="C78" s="819" t="s">
        <v>650</v>
      </c>
      <c r="D78" s="819" t="s">
        <v>651</v>
      </c>
      <c r="E78" s="896">
        <v>0.2</v>
      </c>
      <c r="F78" s="883">
        <v>30</v>
      </c>
    </row>
    <row r="79" spans="1:6" s="879" customFormat="1" ht="24">
      <c r="A79" s="883">
        <v>19</v>
      </c>
      <c r="B79" s="3287"/>
      <c r="C79" s="819" t="s">
        <v>652</v>
      </c>
      <c r="D79" s="819" t="s">
        <v>653</v>
      </c>
      <c r="E79" s="896">
        <v>0.5</v>
      </c>
      <c r="F79" s="883">
        <v>80</v>
      </c>
    </row>
    <row r="80" spans="1:6" s="879" customFormat="1" ht="36">
      <c r="A80" s="883">
        <v>20</v>
      </c>
      <c r="B80" s="3287"/>
      <c r="C80" s="819" t="s">
        <v>654</v>
      </c>
      <c r="D80" s="819" t="s">
        <v>655</v>
      </c>
      <c r="E80" s="896">
        <v>0.2</v>
      </c>
      <c r="F80" s="883">
        <v>30</v>
      </c>
    </row>
    <row r="81" spans="1:6" s="879" customFormat="1" ht="36">
      <c r="A81" s="883">
        <v>21</v>
      </c>
      <c r="B81" s="3287"/>
      <c r="C81" s="819" t="s">
        <v>656</v>
      </c>
      <c r="D81" s="819" t="s">
        <v>657</v>
      </c>
      <c r="E81" s="896">
        <v>0.2</v>
      </c>
      <c r="F81" s="883">
        <v>30</v>
      </c>
    </row>
    <row r="82" spans="1:6" s="879" customFormat="1" ht="48">
      <c r="A82" s="883">
        <v>22</v>
      </c>
      <c r="B82" s="3287"/>
      <c r="C82" s="819" t="s">
        <v>658</v>
      </c>
      <c r="D82" s="819" t="s">
        <v>659</v>
      </c>
      <c r="E82" s="896">
        <v>0.2</v>
      </c>
      <c r="F82" s="883">
        <v>30</v>
      </c>
    </row>
    <row r="83" spans="1:6" s="879" customFormat="1" ht="48">
      <c r="A83" s="883">
        <v>23</v>
      </c>
      <c r="B83" s="3287"/>
      <c r="C83" s="819" t="s">
        <v>660</v>
      </c>
      <c r="D83" s="819" t="s">
        <v>661</v>
      </c>
      <c r="E83" s="896">
        <v>0.2</v>
      </c>
      <c r="F83" s="883">
        <v>30</v>
      </c>
    </row>
    <row r="84" spans="1:6" s="879" customFormat="1" ht="36">
      <c r="A84" s="883">
        <v>24</v>
      </c>
      <c r="B84" s="3287"/>
      <c r="C84" s="819" t="s">
        <v>662</v>
      </c>
      <c r="D84" s="819" t="s">
        <v>663</v>
      </c>
      <c r="E84" s="896">
        <v>0.2</v>
      </c>
      <c r="F84" s="883">
        <v>30</v>
      </c>
    </row>
    <row r="85" spans="1:6" s="879" customFormat="1" ht="36">
      <c r="A85" s="883">
        <v>25</v>
      </c>
      <c r="B85" s="3287"/>
      <c r="C85" s="819" t="s">
        <v>664</v>
      </c>
      <c r="D85" s="819" t="s">
        <v>665</v>
      </c>
      <c r="E85" s="896">
        <v>0.5</v>
      </c>
      <c r="F85" s="883">
        <v>80</v>
      </c>
    </row>
    <row r="86" spans="1:6" s="879" customFormat="1" ht="36">
      <c r="A86" s="883">
        <v>26</v>
      </c>
      <c r="B86" s="3287"/>
      <c r="C86" s="819" t="s">
        <v>666</v>
      </c>
      <c r="D86" s="819" t="s">
        <v>667</v>
      </c>
      <c r="E86" s="896">
        <v>0.2</v>
      </c>
      <c r="F86" s="883">
        <v>30</v>
      </c>
    </row>
    <row r="87" spans="1:6" s="879" customFormat="1" ht="36">
      <c r="A87" s="883">
        <v>27</v>
      </c>
      <c r="B87" s="3287"/>
      <c r="C87" s="819" t="s">
        <v>668</v>
      </c>
      <c r="D87" s="819" t="s">
        <v>669</v>
      </c>
      <c r="E87" s="896">
        <v>0.2</v>
      </c>
      <c r="F87" s="883">
        <v>30</v>
      </c>
    </row>
    <row r="88" spans="1:6" s="879" customFormat="1" ht="36">
      <c r="A88" s="883">
        <v>28</v>
      </c>
      <c r="B88" s="3287"/>
      <c r="C88" s="819" t="s">
        <v>670</v>
      </c>
      <c r="D88" s="819" t="s">
        <v>671</v>
      </c>
      <c r="E88" s="896">
        <v>0.2</v>
      </c>
      <c r="F88" s="883">
        <v>30</v>
      </c>
    </row>
    <row r="89" spans="1:6" s="879" customFormat="1" ht="24">
      <c r="A89" s="883">
        <v>29</v>
      </c>
      <c r="B89" s="3287"/>
      <c r="C89" s="819" t="s">
        <v>672</v>
      </c>
      <c r="D89" s="819" t="s">
        <v>673</v>
      </c>
      <c r="E89" s="896">
        <v>0.2</v>
      </c>
      <c r="F89" s="883">
        <v>30</v>
      </c>
    </row>
    <row r="90" spans="1:6" s="879" customFormat="1" ht="24">
      <c r="A90" s="883">
        <v>30</v>
      </c>
      <c r="B90" s="3287"/>
      <c r="C90" s="819" t="s">
        <v>674</v>
      </c>
      <c r="D90" s="819" t="s">
        <v>675</v>
      </c>
      <c r="E90" s="896">
        <v>0.2</v>
      </c>
      <c r="F90" s="883">
        <v>30</v>
      </c>
    </row>
    <row r="91" spans="1:6" s="879" customFormat="1" ht="36">
      <c r="A91" s="883">
        <v>31</v>
      </c>
      <c r="B91" s="3287"/>
      <c r="C91" s="819" t="s">
        <v>676</v>
      </c>
      <c r="D91" s="819" t="s">
        <v>677</v>
      </c>
      <c r="E91" s="896">
        <v>0.2</v>
      </c>
      <c r="F91" s="883">
        <v>30</v>
      </c>
    </row>
    <row r="92" spans="1:6" s="879" customFormat="1" ht="24">
      <c r="A92" s="883">
        <v>32</v>
      </c>
      <c r="B92" s="3287" t="s">
        <v>678</v>
      </c>
      <c r="C92" s="883" t="s">
        <v>679</v>
      </c>
      <c r="D92" s="819" t="s">
        <v>680</v>
      </c>
      <c r="E92" s="896">
        <v>0.2</v>
      </c>
      <c r="F92" s="883">
        <v>30</v>
      </c>
    </row>
    <row r="93" spans="1:6" s="879" customFormat="1" ht="36">
      <c r="A93" s="883">
        <v>33</v>
      </c>
      <c r="B93" s="3287"/>
      <c r="C93" s="883" t="s">
        <v>681</v>
      </c>
      <c r="D93" s="819" t="s">
        <v>682</v>
      </c>
      <c r="E93" s="896">
        <v>0.2</v>
      </c>
      <c r="F93" s="883">
        <v>30</v>
      </c>
    </row>
    <row r="94" spans="1:6" s="879" customFormat="1" ht="48">
      <c r="A94" s="883">
        <v>34</v>
      </c>
      <c r="B94" s="3287"/>
      <c r="C94" s="883" t="s">
        <v>683</v>
      </c>
      <c r="D94" s="819" t="s">
        <v>684</v>
      </c>
      <c r="E94" s="896">
        <v>0.2</v>
      </c>
      <c r="F94" s="883">
        <v>30</v>
      </c>
    </row>
    <row r="95" spans="1:6" s="879" customFormat="1" ht="36">
      <c r="A95" s="883">
        <v>35</v>
      </c>
      <c r="B95" s="3287"/>
      <c r="C95" s="883" t="s">
        <v>685</v>
      </c>
      <c r="D95" s="819" t="s">
        <v>686</v>
      </c>
      <c r="E95" s="896">
        <v>0.2</v>
      </c>
      <c r="F95" s="883">
        <v>30</v>
      </c>
    </row>
    <row r="96" spans="1:6" s="879" customFormat="1" ht="48">
      <c r="A96" s="883">
        <v>36</v>
      </c>
      <c r="B96" s="3287"/>
      <c r="C96" s="819" t="s">
        <v>687</v>
      </c>
      <c r="D96" s="819" t="s">
        <v>688</v>
      </c>
      <c r="E96" s="896">
        <v>0.2</v>
      </c>
      <c r="F96" s="883">
        <v>30</v>
      </c>
    </row>
    <row r="97" spans="1:6" s="879" customFormat="1" ht="36">
      <c r="A97" s="883">
        <v>37</v>
      </c>
      <c r="B97" s="3287"/>
      <c r="C97" s="883" t="s">
        <v>689</v>
      </c>
      <c r="D97" s="819" t="s">
        <v>690</v>
      </c>
      <c r="E97" s="896">
        <v>0.2</v>
      </c>
      <c r="F97" s="883">
        <v>30</v>
      </c>
    </row>
    <row r="98" spans="1:6" s="879" customFormat="1" ht="36">
      <c r="A98" s="883">
        <v>38</v>
      </c>
      <c r="B98" s="3287"/>
      <c r="C98" s="883" t="s">
        <v>691</v>
      </c>
      <c r="D98" s="819" t="s">
        <v>692</v>
      </c>
      <c r="E98" s="896">
        <v>0.2</v>
      </c>
      <c r="F98" s="883">
        <v>30</v>
      </c>
    </row>
    <row r="99" spans="1:6" s="879" customFormat="1" ht="36">
      <c r="A99" s="883">
        <v>39</v>
      </c>
      <c r="B99" s="3287" t="s">
        <v>693</v>
      </c>
      <c r="C99" s="883" t="s">
        <v>694</v>
      </c>
      <c r="D99" s="819" t="s">
        <v>695</v>
      </c>
      <c r="E99" s="896">
        <v>0.3</v>
      </c>
      <c r="F99" s="883">
        <v>50</v>
      </c>
    </row>
    <row r="100" spans="1:6" s="879" customFormat="1" ht="24">
      <c r="A100" s="883">
        <v>40</v>
      </c>
      <c r="B100" s="3287"/>
      <c r="C100" s="883" t="s">
        <v>696</v>
      </c>
      <c r="D100" s="819" t="s">
        <v>697</v>
      </c>
      <c r="E100" s="896">
        <v>0.2</v>
      </c>
      <c r="F100" s="883">
        <v>30</v>
      </c>
    </row>
    <row r="101" spans="1:6" s="879" customFormat="1" ht="36">
      <c r="A101" s="883">
        <v>41</v>
      </c>
      <c r="B101" s="328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87" t="s">
        <v>708</v>
      </c>
      <c r="C105" s="883" t="s">
        <v>709</v>
      </c>
      <c r="D105" s="819" t="s">
        <v>710</v>
      </c>
      <c r="E105" s="896">
        <v>0.2</v>
      </c>
      <c r="F105" s="883">
        <v>30</v>
      </c>
    </row>
    <row r="106" spans="1:6" s="879" customFormat="1" ht="36">
      <c r="A106" s="883">
        <v>46</v>
      </c>
      <c r="B106" s="3287"/>
      <c r="C106" s="883" t="s">
        <v>711</v>
      </c>
      <c r="D106" s="819" t="s">
        <v>712</v>
      </c>
      <c r="E106" s="896">
        <v>0.2</v>
      </c>
      <c r="F106" s="883">
        <v>30</v>
      </c>
    </row>
    <row r="107" spans="1:6" s="879" customFormat="1" ht="36">
      <c r="A107" s="883">
        <v>47</v>
      </c>
      <c r="B107" s="3287" t="s">
        <v>713</v>
      </c>
      <c r="C107" s="883" t="s">
        <v>714</v>
      </c>
      <c r="D107" s="819" t="s">
        <v>715</v>
      </c>
      <c r="E107" s="896">
        <v>0.3</v>
      </c>
      <c r="F107" s="883">
        <v>50</v>
      </c>
    </row>
    <row r="108" spans="1:6" s="879" customFormat="1" ht="36">
      <c r="A108" s="883">
        <v>48</v>
      </c>
      <c r="B108" s="328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87" t="s">
        <v>724</v>
      </c>
      <c r="C111" s="883" t="s">
        <v>725</v>
      </c>
      <c r="D111" s="819" t="s">
        <v>726</v>
      </c>
      <c r="E111" s="896">
        <v>0.2</v>
      </c>
      <c r="F111" s="883">
        <v>30</v>
      </c>
    </row>
    <row r="112" spans="1:6" s="879" customFormat="1" ht="24">
      <c r="A112" s="883">
        <v>52</v>
      </c>
      <c r="B112" s="3287"/>
      <c r="C112" s="883" t="s">
        <v>727</v>
      </c>
      <c r="D112" s="819" t="s">
        <v>728</v>
      </c>
      <c r="E112" s="896">
        <v>0.2</v>
      </c>
      <c r="F112" s="883">
        <v>30</v>
      </c>
    </row>
    <row r="113" spans="1:6" s="879" customFormat="1" ht="24">
      <c r="A113" s="883">
        <v>53</v>
      </c>
      <c r="B113" s="328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87" t="s">
        <v>737</v>
      </c>
      <c r="C116" s="883" t="s">
        <v>738</v>
      </c>
      <c r="D116" s="819" t="s">
        <v>739</v>
      </c>
      <c r="E116" s="896">
        <v>0.2</v>
      </c>
      <c r="F116" s="883">
        <v>30</v>
      </c>
    </row>
    <row r="117" spans="1:6" ht="36">
      <c r="A117" s="883">
        <v>57</v>
      </c>
      <c r="B117" s="328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93" t="s">
        <v>1150</v>
      </c>
      <c r="C1" s="3293"/>
      <c r="D1" s="3293"/>
      <c r="E1" s="3293"/>
      <c r="F1" s="3293"/>
      <c r="G1" s="3292" t="s">
        <v>1151</v>
      </c>
      <c r="H1" s="3292"/>
      <c r="I1" s="3292"/>
      <c r="J1" s="3292"/>
      <c r="K1" s="3292"/>
      <c r="L1" s="3292"/>
      <c r="N1" s="3292" t="s">
        <v>1152</v>
      </c>
      <c r="O1" s="3292"/>
      <c r="P1" s="3292"/>
      <c r="Q1" s="3292"/>
      <c r="R1" s="1449"/>
      <c r="S1" s="3292" t="s">
        <v>1153</v>
      </c>
      <c r="T1" s="3292"/>
      <c r="U1" s="3292"/>
      <c r="V1" s="3292"/>
      <c r="X1" s="3291" t="s">
        <v>1154</v>
      </c>
      <c r="Y1" s="3292"/>
      <c r="Z1" s="3292"/>
      <c r="AA1" s="3292"/>
      <c r="AB1" s="3292"/>
      <c r="AD1" s="3291" t="s">
        <v>1155</v>
      </c>
      <c r="AE1" s="3292"/>
      <c r="AF1" s="3292"/>
      <c r="AG1" s="3292"/>
      <c r="AH1" s="329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29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8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8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9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8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8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8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9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8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8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8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9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9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9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9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9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8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8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8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9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8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8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8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9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8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8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8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9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8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8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8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9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8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8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8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9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8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8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8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9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8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8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8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9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8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8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8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9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8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8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8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9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8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8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8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9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8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8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8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9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4"/>
      <c r="B4" s="2983" t="s">
        <v>1632</v>
      </c>
      <c r="C4" s="2983"/>
      <c r="D4" s="2983"/>
      <c r="E4" s="1964"/>
    </row>
    <row r="5" spans="1:5" ht="16.5" thickTop="1">
      <c r="A5" s="1962"/>
      <c r="B5" s="2981" t="s">
        <v>1624</v>
      </c>
      <c r="C5" s="1965" t="s">
        <v>1625</v>
      </c>
      <c r="D5" s="1044">
        <f ca="1">结果表!H101</f>
        <v>3548</v>
      </c>
      <c r="E5" s="1962"/>
    </row>
    <row r="6" spans="1:5" ht="15.75">
      <c r="A6" s="1962"/>
      <c r="B6" s="2981"/>
      <c r="C6" s="1965" t="s">
        <v>1626</v>
      </c>
      <c r="D6" s="1044" t="str">
        <f ca="1">NUMBERSTRING(INT(D5*10000),2)&amp;"元整"</f>
        <v>叁仟伍佰肆拾捌万元整</v>
      </c>
      <c r="E6" s="1962"/>
    </row>
    <row r="7" spans="1:5" ht="15.75">
      <c r="A7" s="1962"/>
      <c r="B7" s="2986"/>
      <c r="C7" s="1966" t="s">
        <v>1627</v>
      </c>
      <c r="D7" s="1045">
        <f ca="1">结果表!H102</f>
        <v>79621</v>
      </c>
      <c r="E7" s="1962"/>
    </row>
    <row r="8" spans="1:5" ht="15.75">
      <c r="A8" s="1962"/>
      <c r="B8" s="2987" t="str">
        <f>结果表!E103</f>
        <v>2.估价师知悉的法定优先受偿款</v>
      </c>
      <c r="C8" s="1967" t="s">
        <v>1628</v>
      </c>
      <c r="D8" s="1045">
        <f>结果表!H103</f>
        <v>0</v>
      </c>
      <c r="E8" s="1962"/>
    </row>
    <row r="9" spans="1:5" ht="15.75">
      <c r="A9" s="1962"/>
      <c r="B9" s="2989"/>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80" t="str">
        <f>结果表!E107</f>
        <v>3.房地产抵押价值</v>
      </c>
      <c r="C13" s="1970" t="s">
        <v>1625</v>
      </c>
      <c r="D13" s="1047">
        <f ca="1">结果表!H107</f>
        <v>3548</v>
      </c>
      <c r="E13" s="1962"/>
    </row>
    <row r="14" spans="1:5" ht="15.75">
      <c r="A14" s="1962"/>
      <c r="B14" s="2981"/>
      <c r="C14" s="1965" t="s">
        <v>1626</v>
      </c>
      <c r="D14" s="1044" t="str">
        <f ca="1">NUMBERSTRING(INT(D13*10000),2)&amp;"元整"</f>
        <v>叁仟伍佰肆拾捌万元整</v>
      </c>
      <c r="E14" s="1962"/>
    </row>
    <row r="15" spans="1:5" ht="15">
      <c r="A15" s="1962"/>
      <c r="B15" s="2986"/>
      <c r="C15" s="1966" t="s">
        <v>1636</v>
      </c>
      <c r="D15" s="1056">
        <f ca="1">结果表!H108</f>
        <v>79621</v>
      </c>
      <c r="E15" s="1962"/>
    </row>
    <row r="16" spans="1:5" ht="15">
      <c r="A16" s="1962"/>
      <c r="B16" s="2987" t="str">
        <f>结果表!E109</f>
        <v>——</v>
      </c>
      <c r="C16" s="1970" t="s">
        <v>1637</v>
      </c>
      <c r="D16" s="1971" t="str">
        <f>结果表!H109</f>
        <v>——</v>
      </c>
      <c r="E16" s="1962"/>
    </row>
    <row r="17" spans="1:5" ht="15.75">
      <c r="A17" s="1962"/>
      <c r="B17" s="2988"/>
      <c r="C17" s="1965" t="s">
        <v>1638</v>
      </c>
      <c r="D17" s="1044" t="e">
        <f>NUMBERSTRING(INT(D16*10000),2)&amp;"元整"</f>
        <v>#VALUE!</v>
      </c>
      <c r="E17" s="1962"/>
    </row>
    <row r="18" spans="1:5" ht="15">
      <c r="A18" s="1962"/>
      <c r="B18" s="2989"/>
      <c r="C18" s="1966" t="s">
        <v>1627</v>
      </c>
      <c r="D18" s="1056" t="str">
        <f>结果表!H110</f>
        <v>——</v>
      </c>
      <c r="E18" s="1962"/>
    </row>
    <row r="19" spans="1:5" ht="15.75">
      <c r="A19" s="1962"/>
      <c r="B19" s="2980" t="str">
        <f>结果表!E111</f>
        <v>——</v>
      </c>
      <c r="C19" s="1970" t="s">
        <v>1625</v>
      </c>
      <c r="D19" s="1045" t="str">
        <f>结果表!H111</f>
        <v>——</v>
      </c>
      <c r="E19" s="1962"/>
    </row>
    <row r="20" spans="1:5" ht="15.75">
      <c r="A20" s="1962"/>
      <c r="B20" s="2981"/>
      <c r="C20" s="1965" t="s">
        <v>1638</v>
      </c>
      <c r="D20" s="1044" t="e">
        <f>NUMBERSTRING(INT(D19*10000),2)&amp;"元整"</f>
        <v>#VALUE!</v>
      </c>
      <c r="E20" s="1962"/>
    </row>
    <row r="21" spans="1:5" ht="15.75" thickBot="1">
      <c r="A21" s="1962"/>
      <c r="B21" s="2982"/>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1" sqref="B1:R1048576"/>
    </sheetView>
  </sheetViews>
  <sheetFormatPr defaultRowHeight="12.75"/>
  <cols>
    <col min="1" max="1" width="11.5" style="139" customWidth="1"/>
    <col min="2" max="2" width="9.25" style="27" customWidth="1"/>
    <col min="3" max="3" width="9.7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299" t="s">
        <v>3011</v>
      </c>
      <c r="D1" s="3300"/>
      <c r="E1" s="3300"/>
      <c r="F1" s="3300"/>
      <c r="G1" s="3300"/>
      <c r="H1" s="3300"/>
      <c r="I1" s="3300"/>
      <c r="J1" s="3300"/>
      <c r="K1" s="3300"/>
      <c r="L1" s="3300"/>
      <c r="M1" s="3300"/>
      <c r="N1" s="3300"/>
      <c r="O1" s="3300"/>
      <c r="P1" s="3300"/>
      <c r="Q1" s="3300"/>
      <c r="R1" s="3300"/>
      <c r="S1" s="3301"/>
      <c r="T1" s="1207" t="s">
        <v>3012</v>
      </c>
    </row>
    <row r="2" spans="1:45" s="708" customFormat="1" ht="38.25">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3169</v>
      </c>
      <c r="C5" s="2951" t="s">
        <v>3171</v>
      </c>
      <c r="D5" s="2952" t="s">
        <v>3172</v>
      </c>
      <c r="E5" s="2952" t="s">
        <v>3173</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3174</v>
      </c>
      <c r="C7" s="2954" t="s">
        <v>3176</v>
      </c>
      <c r="D7" s="2955" t="s">
        <v>3177</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3178</v>
      </c>
      <c r="C9" s="2954" t="s">
        <v>3179</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88096</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56254.940000000017</v>
      </c>
      <c r="C22" s="3160" t="s">
        <v>33</v>
      </c>
      <c r="D22" s="3161"/>
      <c r="E22" s="3161"/>
      <c r="F22" s="3161"/>
      <c r="G22" s="3161"/>
      <c r="H22" s="3161"/>
      <c r="I22" s="3161"/>
      <c r="J22" s="3161"/>
      <c r="K22" s="3161"/>
      <c r="L22" s="3161"/>
      <c r="M22" s="3161"/>
      <c r="N22" s="3161"/>
      <c r="O22" s="3161"/>
      <c r="P22" s="3161"/>
      <c r="Q22" s="3298"/>
      <c r="R22" s="717">
        <f ca="1">ROUND(S22*10000/B22,0)</f>
        <v>88096</v>
      </c>
      <c r="S22" s="24">
        <f ca="1">SUM(S24:S10000)</f>
        <v>495584</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2963" t="s">
        <v>3181</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79622</v>
      </c>
      <c r="S24" s="720">
        <f t="shared" ref="S24:S54" ca="1" si="11">ROUND(R24*B24/10000,0)</f>
        <v>3548</v>
      </c>
      <c r="T24" s="2964" t="s">
        <v>3182</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79622</v>
      </c>
      <c r="S25" s="362">
        <f t="shared" ca="1" si="11"/>
        <v>3547</v>
      </c>
      <c r="T25" s="2964" t="s">
        <v>3182</v>
      </c>
    </row>
    <row r="26" spans="1:45" ht="13.5">
      <c r="A26" s="2932" t="s">
        <v>3066</v>
      </c>
      <c r="B26" s="2932">
        <v>913.64</v>
      </c>
      <c r="C26" s="24">
        <f t="shared" ref="C26:C89" si="12">IF(B26="",1,(LOOKUP(B26,$3:$3,$4:$4)-LOOKUP($B$24,$3:$3,$4:$4)+100)/100)</f>
        <v>1.02</v>
      </c>
      <c r="D26" s="721" t="s">
        <v>3170</v>
      </c>
      <c r="E26" s="24">
        <f t="shared" ref="E26:E89" si="13">(SUMIF($5:$5,D26,$6:$6)-SUMIF($5:$5,$D$24,$6:$6)+100)/100</f>
        <v>1.1000000000000001</v>
      </c>
      <c r="F26" s="721" t="s">
        <v>3175</v>
      </c>
      <c r="G26" s="24">
        <f t="shared" ref="G26:G89" si="14">(SUMIF($7:$7,F26,$8:$8)-SUMIF($7:$7,$F$24,$8:$8)+100)/100</f>
        <v>1.1000000000000001</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98269</v>
      </c>
      <c r="S26" s="362">
        <f t="shared" ca="1" si="11"/>
        <v>8978</v>
      </c>
      <c r="T26" s="2964" t="s">
        <v>3182</v>
      </c>
    </row>
    <row r="27" spans="1:45" ht="13.5">
      <c r="A27" s="2932" t="s">
        <v>3067</v>
      </c>
      <c r="B27" s="2932">
        <v>912.44</v>
      </c>
      <c r="C27" s="24">
        <f t="shared" si="12"/>
        <v>1.02</v>
      </c>
      <c r="D27" s="721" t="s">
        <v>3170</v>
      </c>
      <c r="E27" s="24">
        <f t="shared" si="13"/>
        <v>1.1000000000000001</v>
      </c>
      <c r="F27" s="721" t="s">
        <v>3175</v>
      </c>
      <c r="G27" s="24">
        <f t="shared" si="14"/>
        <v>1.1000000000000001</v>
      </c>
      <c r="H27" s="721" t="s">
        <v>3167</v>
      </c>
      <c r="I27" s="24">
        <f t="shared" si="15"/>
        <v>1</v>
      </c>
      <c r="J27" s="721"/>
      <c r="K27" s="24">
        <f t="shared" si="16"/>
        <v>1</v>
      </c>
      <c r="L27" s="721"/>
      <c r="M27" s="24">
        <f t="shared" si="17"/>
        <v>1</v>
      </c>
      <c r="N27" s="721"/>
      <c r="O27" s="24">
        <f t="shared" si="18"/>
        <v>1</v>
      </c>
      <c r="P27" s="721"/>
      <c r="Q27" s="24">
        <f t="shared" si="19"/>
        <v>1</v>
      </c>
      <c r="R27" s="717">
        <f t="shared" ca="1" si="20"/>
        <v>98269</v>
      </c>
      <c r="S27" s="362">
        <f t="shared" ca="1" si="11"/>
        <v>8966</v>
      </c>
      <c r="T27" s="2964" t="s">
        <v>3182</v>
      </c>
    </row>
    <row r="28" spans="1:45" ht="13.5">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2964" t="s">
        <v>3182</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79622</v>
      </c>
      <c r="S29" s="362">
        <f t="shared" ca="1" si="11"/>
        <v>3547</v>
      </c>
      <c r="T29" s="2964" t="s">
        <v>3182</v>
      </c>
    </row>
    <row r="30" spans="1:45" ht="13.5">
      <c r="A30" s="2932" t="s">
        <v>3070</v>
      </c>
      <c r="B30" s="2932">
        <v>912.44</v>
      </c>
      <c r="C30" s="24">
        <f t="shared" si="12"/>
        <v>1.02</v>
      </c>
      <c r="D30" s="721" t="s">
        <v>3170</v>
      </c>
      <c r="E30" s="24">
        <f t="shared" si="13"/>
        <v>1.1000000000000001</v>
      </c>
      <c r="F30" s="721" t="s">
        <v>3175</v>
      </c>
      <c r="G30" s="24">
        <f t="shared" si="14"/>
        <v>1.1000000000000001</v>
      </c>
      <c r="H30" s="721" t="s">
        <v>3167</v>
      </c>
      <c r="I30" s="24">
        <f t="shared" si="15"/>
        <v>1</v>
      </c>
      <c r="J30" s="721"/>
      <c r="K30" s="24">
        <f t="shared" si="16"/>
        <v>1</v>
      </c>
      <c r="L30" s="721"/>
      <c r="M30" s="24">
        <f t="shared" si="17"/>
        <v>1</v>
      </c>
      <c r="N30" s="721"/>
      <c r="O30" s="24">
        <f t="shared" si="18"/>
        <v>1</v>
      </c>
      <c r="P30" s="721"/>
      <c r="Q30" s="24">
        <f t="shared" si="19"/>
        <v>1</v>
      </c>
      <c r="R30" s="717">
        <f t="shared" ca="1" si="20"/>
        <v>98269</v>
      </c>
      <c r="S30" s="362">
        <f t="shared" ca="1" si="11"/>
        <v>8966</v>
      </c>
      <c r="T30" s="2964" t="s">
        <v>3182</v>
      </c>
    </row>
    <row r="31" spans="1:45" ht="13.5">
      <c r="A31" s="2932" t="s">
        <v>3071</v>
      </c>
      <c r="B31" s="2932">
        <v>913.64</v>
      </c>
      <c r="C31" s="24">
        <f t="shared" si="12"/>
        <v>1.02</v>
      </c>
      <c r="D31" s="721" t="s">
        <v>3170</v>
      </c>
      <c r="E31" s="24">
        <f t="shared" si="13"/>
        <v>1.1000000000000001</v>
      </c>
      <c r="F31" s="721" t="s">
        <v>3175</v>
      </c>
      <c r="G31" s="24">
        <f t="shared" si="14"/>
        <v>1.1000000000000001</v>
      </c>
      <c r="H31" s="721" t="s">
        <v>3167</v>
      </c>
      <c r="I31" s="24">
        <f t="shared" si="15"/>
        <v>1</v>
      </c>
      <c r="J31" s="721"/>
      <c r="K31" s="24">
        <f t="shared" si="16"/>
        <v>1</v>
      </c>
      <c r="L31" s="721"/>
      <c r="M31" s="24">
        <f t="shared" si="17"/>
        <v>1</v>
      </c>
      <c r="N31" s="721"/>
      <c r="O31" s="24">
        <f t="shared" si="18"/>
        <v>1</v>
      </c>
      <c r="P31" s="721"/>
      <c r="Q31" s="24">
        <f t="shared" si="19"/>
        <v>1</v>
      </c>
      <c r="R31" s="717">
        <f t="shared" ca="1" si="20"/>
        <v>98269</v>
      </c>
      <c r="S31" s="362">
        <f t="shared" ca="1" si="11"/>
        <v>8978</v>
      </c>
      <c r="T31" s="2964" t="s">
        <v>3182</v>
      </c>
    </row>
    <row r="32" spans="1:45" ht="13.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79622</v>
      </c>
      <c r="S32" s="362">
        <f t="shared" ca="1" si="11"/>
        <v>3498</v>
      </c>
      <c r="T32" s="2964" t="s">
        <v>3183</v>
      </c>
    </row>
    <row r="33" spans="1:20" ht="13.5">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79622</v>
      </c>
      <c r="S33" s="362">
        <f t="shared" ca="1" si="11"/>
        <v>3498</v>
      </c>
      <c r="T33" s="2964" t="s">
        <v>3183</v>
      </c>
    </row>
    <row r="34" spans="1:20" ht="13.5">
      <c r="A34" s="2933" t="s">
        <v>3066</v>
      </c>
      <c r="B34" s="2933">
        <v>906.27</v>
      </c>
      <c r="C34" s="24">
        <f t="shared" si="12"/>
        <v>1.02</v>
      </c>
      <c r="D34" s="721" t="s">
        <v>3170</v>
      </c>
      <c r="E34" s="24">
        <f t="shared" si="13"/>
        <v>1.1000000000000001</v>
      </c>
      <c r="F34" s="721" t="s">
        <v>3175</v>
      </c>
      <c r="G34" s="24">
        <f t="shared" si="14"/>
        <v>1.1000000000000001</v>
      </c>
      <c r="H34" s="721" t="s">
        <v>3167</v>
      </c>
      <c r="I34" s="24">
        <f t="shared" si="15"/>
        <v>1</v>
      </c>
      <c r="J34" s="721"/>
      <c r="K34" s="24">
        <f t="shared" si="16"/>
        <v>1</v>
      </c>
      <c r="L34" s="721"/>
      <c r="M34" s="24">
        <f t="shared" si="17"/>
        <v>1</v>
      </c>
      <c r="N34" s="721"/>
      <c r="O34" s="24">
        <f t="shared" si="18"/>
        <v>1</v>
      </c>
      <c r="P34" s="721"/>
      <c r="Q34" s="24">
        <f t="shared" si="19"/>
        <v>1</v>
      </c>
      <c r="R34" s="717">
        <f t="shared" ca="1" si="20"/>
        <v>98269</v>
      </c>
      <c r="S34" s="362">
        <f t="shared" ca="1" si="11"/>
        <v>8906</v>
      </c>
      <c r="T34" s="2964" t="s">
        <v>3183</v>
      </c>
    </row>
    <row r="35" spans="1:20" ht="13.5">
      <c r="A35" s="2933" t="s">
        <v>3067</v>
      </c>
      <c r="B35" s="2933">
        <v>900.43</v>
      </c>
      <c r="C35" s="24">
        <f t="shared" si="12"/>
        <v>1.02</v>
      </c>
      <c r="D35" s="721" t="s">
        <v>3170</v>
      </c>
      <c r="E35" s="24">
        <f t="shared" si="13"/>
        <v>1.1000000000000001</v>
      </c>
      <c r="F35" s="721" t="s">
        <v>3175</v>
      </c>
      <c r="G35" s="24">
        <f t="shared" si="14"/>
        <v>1.1000000000000001</v>
      </c>
      <c r="H35" s="721" t="s">
        <v>3167</v>
      </c>
      <c r="I35" s="24">
        <f t="shared" si="15"/>
        <v>1</v>
      </c>
      <c r="J35" s="721"/>
      <c r="K35" s="24">
        <f t="shared" si="16"/>
        <v>1</v>
      </c>
      <c r="L35" s="721"/>
      <c r="M35" s="24">
        <f t="shared" si="17"/>
        <v>1</v>
      </c>
      <c r="N35" s="721"/>
      <c r="O35" s="24">
        <f t="shared" si="18"/>
        <v>1</v>
      </c>
      <c r="P35" s="721"/>
      <c r="Q35" s="24">
        <f t="shared" si="19"/>
        <v>1</v>
      </c>
      <c r="R35" s="717">
        <f t="shared" ca="1" si="20"/>
        <v>98269</v>
      </c>
      <c r="S35" s="362">
        <f t="shared" ca="1" si="11"/>
        <v>8848</v>
      </c>
      <c r="T35" s="2964" t="s">
        <v>3183</v>
      </c>
    </row>
    <row r="36" spans="1:20" ht="13.5">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79622</v>
      </c>
      <c r="S36" s="362">
        <f t="shared" ca="1" si="11"/>
        <v>3498</v>
      </c>
      <c r="T36" s="2964" t="s">
        <v>3183</v>
      </c>
    </row>
    <row r="37" spans="1:20" ht="13.5">
      <c r="A37" s="2933" t="s">
        <v>3069</v>
      </c>
      <c r="B37" s="2933">
        <v>439.34</v>
      </c>
      <c r="C37" s="24">
        <f t="shared" si="12"/>
        <v>1</v>
      </c>
      <c r="D37" s="721" t="s">
        <v>3170</v>
      </c>
      <c r="E37" s="24">
        <f t="shared" si="13"/>
        <v>1.1000000000000001</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87584</v>
      </c>
      <c r="S37" s="362">
        <f t="shared" ca="1" si="11"/>
        <v>3848</v>
      </c>
      <c r="T37" s="2964" t="s">
        <v>3183</v>
      </c>
    </row>
    <row r="38" spans="1:20" ht="13.5">
      <c r="A38" s="2934" t="s">
        <v>3070</v>
      </c>
      <c r="B38" s="2934">
        <v>900.43</v>
      </c>
      <c r="C38" s="24">
        <f t="shared" si="12"/>
        <v>1.02</v>
      </c>
      <c r="D38" s="721" t="s">
        <v>3170</v>
      </c>
      <c r="E38" s="24">
        <f t="shared" si="13"/>
        <v>1.1000000000000001</v>
      </c>
      <c r="F38" s="721" t="s">
        <v>3175</v>
      </c>
      <c r="G38" s="24">
        <f t="shared" si="14"/>
        <v>1.1000000000000001</v>
      </c>
      <c r="H38" s="721" t="s">
        <v>3167</v>
      </c>
      <c r="I38" s="24">
        <f t="shared" si="15"/>
        <v>1</v>
      </c>
      <c r="J38" s="721"/>
      <c r="K38" s="24">
        <f t="shared" si="16"/>
        <v>1</v>
      </c>
      <c r="L38" s="721"/>
      <c r="M38" s="24">
        <f t="shared" si="17"/>
        <v>1</v>
      </c>
      <c r="N38" s="721"/>
      <c r="O38" s="24">
        <f t="shared" si="18"/>
        <v>1</v>
      </c>
      <c r="P38" s="721"/>
      <c r="Q38" s="24">
        <f t="shared" si="19"/>
        <v>1</v>
      </c>
      <c r="R38" s="717">
        <f t="shared" ca="1" si="20"/>
        <v>98269</v>
      </c>
      <c r="S38" s="362">
        <f t="shared" ca="1" si="11"/>
        <v>8848</v>
      </c>
      <c r="T38" s="2964" t="s">
        <v>3183</v>
      </c>
    </row>
    <row r="39" spans="1:20" ht="13.5">
      <c r="A39" s="2934" t="s">
        <v>3071</v>
      </c>
      <c r="B39" s="2934">
        <v>906.27</v>
      </c>
      <c r="C39" s="24">
        <f t="shared" si="12"/>
        <v>1.02</v>
      </c>
      <c r="D39" s="721" t="s">
        <v>3170</v>
      </c>
      <c r="E39" s="24">
        <f t="shared" si="13"/>
        <v>1.1000000000000001</v>
      </c>
      <c r="F39" s="721" t="s">
        <v>3175</v>
      </c>
      <c r="G39" s="24">
        <f t="shared" si="14"/>
        <v>1.1000000000000001</v>
      </c>
      <c r="H39" s="721" t="s">
        <v>3167</v>
      </c>
      <c r="I39" s="24">
        <f t="shared" si="15"/>
        <v>1</v>
      </c>
      <c r="J39" s="721"/>
      <c r="K39" s="24">
        <f t="shared" si="16"/>
        <v>1</v>
      </c>
      <c r="L39" s="721"/>
      <c r="M39" s="24">
        <f t="shared" si="17"/>
        <v>1</v>
      </c>
      <c r="N39" s="721"/>
      <c r="O39" s="24">
        <f t="shared" si="18"/>
        <v>1</v>
      </c>
      <c r="P39" s="721"/>
      <c r="Q39" s="24">
        <f t="shared" si="19"/>
        <v>1</v>
      </c>
      <c r="R39" s="717">
        <f t="shared" ca="1" si="20"/>
        <v>98269</v>
      </c>
      <c r="S39" s="362">
        <f t="shared" ca="1" si="11"/>
        <v>8906</v>
      </c>
      <c r="T39" s="2964" t="s">
        <v>3183</v>
      </c>
    </row>
    <row r="40" spans="1:20" ht="13.5">
      <c r="A40" s="2935" t="s">
        <v>3066</v>
      </c>
      <c r="B40" s="2936">
        <v>944.47</v>
      </c>
      <c r="C40" s="24">
        <f t="shared" si="12"/>
        <v>1.02</v>
      </c>
      <c r="D40" s="721" t="s">
        <v>3170</v>
      </c>
      <c r="E40" s="24">
        <f t="shared" si="13"/>
        <v>1.1000000000000001</v>
      </c>
      <c r="F40" s="721" t="s">
        <v>3175</v>
      </c>
      <c r="G40" s="24">
        <f t="shared" si="14"/>
        <v>1.1000000000000001</v>
      </c>
      <c r="H40" s="721" t="s">
        <v>3167</v>
      </c>
      <c r="I40" s="24">
        <f t="shared" si="15"/>
        <v>1</v>
      </c>
      <c r="J40" s="721"/>
      <c r="K40" s="24">
        <f t="shared" si="16"/>
        <v>1</v>
      </c>
      <c r="L40" s="721"/>
      <c r="M40" s="24">
        <f t="shared" si="17"/>
        <v>1</v>
      </c>
      <c r="N40" s="721"/>
      <c r="O40" s="24">
        <f t="shared" si="18"/>
        <v>1</v>
      </c>
      <c r="P40" s="721"/>
      <c r="Q40" s="24">
        <f t="shared" si="19"/>
        <v>1</v>
      </c>
      <c r="R40" s="717">
        <f t="shared" ca="1" si="20"/>
        <v>98269</v>
      </c>
      <c r="S40" s="362">
        <f t="shared" ca="1" si="11"/>
        <v>9281</v>
      </c>
      <c r="T40" s="2964" t="s">
        <v>3184</v>
      </c>
    </row>
    <row r="41" spans="1:20" ht="13.5">
      <c r="A41" s="2935" t="s">
        <v>3067</v>
      </c>
      <c r="B41" s="2935">
        <v>943.7</v>
      </c>
      <c r="C41" s="24">
        <f t="shared" si="12"/>
        <v>1.02</v>
      </c>
      <c r="D41" s="721" t="s">
        <v>3170</v>
      </c>
      <c r="E41" s="24">
        <f t="shared" si="13"/>
        <v>1.1000000000000001</v>
      </c>
      <c r="F41" s="721" t="s">
        <v>3175</v>
      </c>
      <c r="G41" s="24">
        <f t="shared" si="14"/>
        <v>1.1000000000000001</v>
      </c>
      <c r="H41" s="721" t="s">
        <v>3167</v>
      </c>
      <c r="I41" s="24">
        <f t="shared" si="15"/>
        <v>1</v>
      </c>
      <c r="J41" s="721"/>
      <c r="K41" s="24">
        <f t="shared" si="16"/>
        <v>1</v>
      </c>
      <c r="L41" s="721"/>
      <c r="M41" s="24">
        <f t="shared" si="17"/>
        <v>1</v>
      </c>
      <c r="N41" s="721"/>
      <c r="O41" s="24">
        <f t="shared" si="18"/>
        <v>1</v>
      </c>
      <c r="P41" s="721"/>
      <c r="Q41" s="24">
        <f t="shared" si="19"/>
        <v>1</v>
      </c>
      <c r="R41" s="717">
        <f t="shared" ca="1" si="20"/>
        <v>98269</v>
      </c>
      <c r="S41" s="362">
        <f t="shared" ca="1" si="11"/>
        <v>9274</v>
      </c>
      <c r="T41" s="2964" t="s">
        <v>3184</v>
      </c>
    </row>
    <row r="42" spans="1:20"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79622</v>
      </c>
      <c r="S42" s="362">
        <f t="shared" ca="1" si="11"/>
        <v>4085</v>
      </c>
      <c r="T42" s="2964" t="s">
        <v>3184</v>
      </c>
    </row>
    <row r="43" spans="1:20"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79622</v>
      </c>
      <c r="S43" s="362">
        <f t="shared" ca="1" si="11"/>
        <v>4094</v>
      </c>
      <c r="T43" s="2964" t="s">
        <v>3184</v>
      </c>
    </row>
    <row r="44" spans="1:20"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79622</v>
      </c>
      <c r="S44" s="362">
        <f t="shared" ca="1" si="11"/>
        <v>4099</v>
      </c>
      <c r="T44" s="2964" t="s">
        <v>3184</v>
      </c>
    </row>
    <row r="45" spans="1:20"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79622</v>
      </c>
      <c r="S45" s="362">
        <f t="shared" ca="1" si="11"/>
        <v>4108</v>
      </c>
      <c r="T45" s="2964" t="s">
        <v>3184</v>
      </c>
    </row>
    <row r="46" spans="1:20"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79622</v>
      </c>
      <c r="S46" s="362">
        <f t="shared" ca="1" si="11"/>
        <v>4099</v>
      </c>
      <c r="T46" s="2964" t="s">
        <v>3184</v>
      </c>
    </row>
    <row r="47" spans="1:20"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79622</v>
      </c>
      <c r="S47" s="362">
        <f t="shared" ca="1" si="11"/>
        <v>4108</v>
      </c>
      <c r="T47" s="2964" t="s">
        <v>3184</v>
      </c>
    </row>
    <row r="48" spans="1:20" ht="13.5">
      <c r="A48" s="2935" t="s">
        <v>3079</v>
      </c>
      <c r="B48" s="2936">
        <v>515.91</v>
      </c>
      <c r="C48" s="24">
        <f t="shared" si="12"/>
        <v>1</v>
      </c>
      <c r="D48" s="721" t="s">
        <v>3170</v>
      </c>
      <c r="E48" s="24">
        <f t="shared" si="13"/>
        <v>1.1000000000000001</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87584</v>
      </c>
      <c r="S48" s="362">
        <f t="shared" ca="1" si="11"/>
        <v>4519</v>
      </c>
      <c r="T48" s="2964" t="s">
        <v>3184</v>
      </c>
    </row>
    <row r="49" spans="1:20" ht="13.5">
      <c r="A49" s="2935" t="s">
        <v>3080</v>
      </c>
      <c r="B49" s="2936">
        <v>514.79999999999995</v>
      </c>
      <c r="C49" s="24">
        <f t="shared" si="12"/>
        <v>1</v>
      </c>
      <c r="D49" s="721" t="s">
        <v>3170</v>
      </c>
      <c r="E49" s="24">
        <f t="shared" si="13"/>
        <v>1.1000000000000001</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87584</v>
      </c>
      <c r="S49" s="362">
        <f t="shared" ca="1" si="11"/>
        <v>4509</v>
      </c>
      <c r="T49" s="2965" t="s">
        <v>3184</v>
      </c>
    </row>
    <row r="50" spans="1:20" ht="13.5">
      <c r="A50" s="2935" t="s">
        <v>3081</v>
      </c>
      <c r="B50" s="2936">
        <v>515.91</v>
      </c>
      <c r="C50" s="24">
        <f t="shared" si="12"/>
        <v>1</v>
      </c>
      <c r="D50" s="721" t="s">
        <v>3170</v>
      </c>
      <c r="E50" s="24">
        <f t="shared" si="13"/>
        <v>1.1000000000000001</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87584</v>
      </c>
      <c r="S50" s="362">
        <f t="shared" ca="1" si="11"/>
        <v>4519</v>
      </c>
      <c r="T50" s="2964" t="s">
        <v>3184</v>
      </c>
    </row>
    <row r="51" spans="1:20" ht="13.5">
      <c r="A51" s="2935" t="s">
        <v>3082</v>
      </c>
      <c r="B51" s="2936">
        <v>514.79999999999995</v>
      </c>
      <c r="C51" s="24">
        <f t="shared" si="12"/>
        <v>1</v>
      </c>
      <c r="D51" s="721" t="s">
        <v>3170</v>
      </c>
      <c r="E51" s="24">
        <f t="shared" si="13"/>
        <v>1.1000000000000001</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87584</v>
      </c>
      <c r="S51" s="362">
        <f t="shared" ca="1" si="11"/>
        <v>4509</v>
      </c>
      <c r="T51" s="2964" t="s">
        <v>3184</v>
      </c>
    </row>
    <row r="52" spans="1:20" ht="13.5">
      <c r="A52" s="2935" t="s">
        <v>3083</v>
      </c>
      <c r="B52" s="2936">
        <v>515.91</v>
      </c>
      <c r="C52" s="24">
        <f t="shared" si="12"/>
        <v>1</v>
      </c>
      <c r="D52" s="721" t="s">
        <v>3170</v>
      </c>
      <c r="E52" s="24">
        <f t="shared" si="13"/>
        <v>1.1000000000000001</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87584</v>
      </c>
      <c r="S52" s="362">
        <f t="shared" ca="1" si="11"/>
        <v>4519</v>
      </c>
      <c r="T52" s="2964" t="s">
        <v>3184</v>
      </c>
    </row>
    <row r="53" spans="1:20" ht="13.5">
      <c r="A53" s="2935" t="s">
        <v>3084</v>
      </c>
      <c r="B53" s="2936">
        <v>514.79999999999995</v>
      </c>
      <c r="C53" s="24">
        <f t="shared" si="12"/>
        <v>1</v>
      </c>
      <c r="D53" s="721" t="s">
        <v>3170</v>
      </c>
      <c r="E53" s="24">
        <f t="shared" si="13"/>
        <v>1.1000000000000001</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87584</v>
      </c>
      <c r="S53" s="362">
        <f t="shared" ca="1" si="11"/>
        <v>4509</v>
      </c>
      <c r="T53" s="2964" t="s">
        <v>3184</v>
      </c>
    </row>
    <row r="54" spans="1:20" ht="13.5">
      <c r="A54" s="2935" t="s">
        <v>3085</v>
      </c>
      <c r="B54" s="2936">
        <v>515.91</v>
      </c>
      <c r="C54" s="24">
        <f t="shared" si="12"/>
        <v>1</v>
      </c>
      <c r="D54" s="721" t="s">
        <v>3170</v>
      </c>
      <c r="E54" s="24">
        <f t="shared" si="13"/>
        <v>1.1000000000000001</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87584</v>
      </c>
      <c r="S54" s="362">
        <f t="shared" ca="1" si="11"/>
        <v>4519</v>
      </c>
      <c r="T54" s="2964" t="s">
        <v>3184</v>
      </c>
    </row>
    <row r="55" spans="1:20" ht="13.5">
      <c r="A55" s="2935" t="s">
        <v>3086</v>
      </c>
      <c r="B55" s="2936">
        <v>514.79999999999995</v>
      </c>
      <c r="C55" s="24">
        <f t="shared" si="12"/>
        <v>1</v>
      </c>
      <c r="D55" s="721" t="s">
        <v>3170</v>
      </c>
      <c r="E55" s="24">
        <f t="shared" si="13"/>
        <v>1.1000000000000001</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87584</v>
      </c>
      <c r="S55" s="362">
        <f t="shared" ref="S55:S77" ca="1" si="21">ROUND(R55*B55/10000,0)</f>
        <v>4509</v>
      </c>
      <c r="T55" s="2964" t="s">
        <v>3184</v>
      </c>
    </row>
    <row r="56" spans="1:20" ht="13.5">
      <c r="A56" s="2935" t="s">
        <v>3087</v>
      </c>
      <c r="B56" s="2936">
        <v>515.91</v>
      </c>
      <c r="C56" s="24">
        <f t="shared" si="12"/>
        <v>1</v>
      </c>
      <c r="D56" s="721" t="s">
        <v>3170</v>
      </c>
      <c r="E56" s="24">
        <f t="shared" si="13"/>
        <v>1.1000000000000001</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87584</v>
      </c>
      <c r="S56" s="362">
        <f t="shared" ca="1" si="21"/>
        <v>4519</v>
      </c>
      <c r="T56" s="2964" t="s">
        <v>3184</v>
      </c>
    </row>
    <row r="57" spans="1:20" ht="13.5">
      <c r="A57" s="2935" t="s">
        <v>3088</v>
      </c>
      <c r="B57" s="2936">
        <v>514.79999999999995</v>
      </c>
      <c r="C57" s="24">
        <f t="shared" si="12"/>
        <v>1</v>
      </c>
      <c r="D57" s="721" t="s">
        <v>3170</v>
      </c>
      <c r="E57" s="24">
        <f t="shared" si="13"/>
        <v>1.1000000000000001</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87584</v>
      </c>
      <c r="S57" s="362">
        <f t="shared" ca="1" si="21"/>
        <v>4509</v>
      </c>
      <c r="T57" s="2965" t="s">
        <v>3184</v>
      </c>
    </row>
    <row r="58" spans="1:20" ht="13.5">
      <c r="A58" s="2935" t="s">
        <v>3089</v>
      </c>
      <c r="B58" s="2936">
        <v>515.91</v>
      </c>
      <c r="C58" s="24">
        <f t="shared" si="12"/>
        <v>1</v>
      </c>
      <c r="D58" s="721" t="s">
        <v>3170</v>
      </c>
      <c r="E58" s="24">
        <f t="shared" si="13"/>
        <v>1.1000000000000001</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87584</v>
      </c>
      <c r="S58" s="362">
        <f t="shared" ca="1" si="21"/>
        <v>4519</v>
      </c>
      <c r="T58" s="2964" t="s">
        <v>3184</v>
      </c>
    </row>
    <row r="59" spans="1:20" ht="13.5">
      <c r="A59" s="2935" t="s">
        <v>3090</v>
      </c>
      <c r="B59" s="2936">
        <v>514.79999999999995</v>
      </c>
      <c r="C59" s="24">
        <f t="shared" si="12"/>
        <v>1</v>
      </c>
      <c r="D59" s="721" t="s">
        <v>3170</v>
      </c>
      <c r="E59" s="24">
        <f t="shared" si="13"/>
        <v>1.1000000000000001</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87584</v>
      </c>
      <c r="S59" s="362">
        <f t="shared" ca="1" si="21"/>
        <v>4509</v>
      </c>
      <c r="T59" s="2965" t="s">
        <v>3184</v>
      </c>
    </row>
    <row r="60" spans="1:20" ht="13.5">
      <c r="A60" s="2935" t="s">
        <v>3091</v>
      </c>
      <c r="B60" s="2936">
        <v>515.91</v>
      </c>
      <c r="C60" s="24">
        <f t="shared" si="12"/>
        <v>1</v>
      </c>
      <c r="D60" s="721" t="s">
        <v>3170</v>
      </c>
      <c r="E60" s="24">
        <f t="shared" si="13"/>
        <v>1.1000000000000001</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87584</v>
      </c>
      <c r="S60" s="362">
        <f t="shared" ca="1" si="21"/>
        <v>4519</v>
      </c>
      <c r="T60" s="2964" t="s">
        <v>3184</v>
      </c>
    </row>
    <row r="61" spans="1:20" ht="13.5">
      <c r="A61" s="2935" t="s">
        <v>3070</v>
      </c>
      <c r="B61" s="2935">
        <v>943.7</v>
      </c>
      <c r="C61" s="24">
        <f t="shared" si="12"/>
        <v>1.02</v>
      </c>
      <c r="D61" s="721" t="s">
        <v>3170</v>
      </c>
      <c r="E61" s="24">
        <f t="shared" si="13"/>
        <v>1.1000000000000001</v>
      </c>
      <c r="F61" s="721" t="s">
        <v>3175</v>
      </c>
      <c r="G61" s="24">
        <f t="shared" si="14"/>
        <v>1.1000000000000001</v>
      </c>
      <c r="H61" s="721" t="s">
        <v>3167</v>
      </c>
      <c r="I61" s="24">
        <f t="shared" si="15"/>
        <v>1</v>
      </c>
      <c r="J61" s="721"/>
      <c r="K61" s="24">
        <f t="shared" si="16"/>
        <v>1</v>
      </c>
      <c r="L61" s="721"/>
      <c r="M61" s="24">
        <f t="shared" si="17"/>
        <v>1</v>
      </c>
      <c r="N61" s="721"/>
      <c r="O61" s="24">
        <f t="shared" si="18"/>
        <v>1</v>
      </c>
      <c r="P61" s="721"/>
      <c r="Q61" s="24">
        <f t="shared" si="19"/>
        <v>1</v>
      </c>
      <c r="R61" s="717">
        <f t="shared" ca="1" si="20"/>
        <v>98269</v>
      </c>
      <c r="S61" s="362">
        <f t="shared" ca="1" si="21"/>
        <v>9274</v>
      </c>
      <c r="T61" s="2964" t="s">
        <v>3184</v>
      </c>
    </row>
    <row r="62" spans="1:20" ht="13.5">
      <c r="A62" s="2935" t="s">
        <v>3071</v>
      </c>
      <c r="B62" s="2935">
        <v>944.47</v>
      </c>
      <c r="C62" s="24">
        <f t="shared" si="12"/>
        <v>1.02</v>
      </c>
      <c r="D62" s="721" t="s">
        <v>3170</v>
      </c>
      <c r="E62" s="24">
        <f t="shared" si="13"/>
        <v>1.1000000000000001</v>
      </c>
      <c r="F62" s="721" t="s">
        <v>3175</v>
      </c>
      <c r="G62" s="24">
        <f t="shared" si="14"/>
        <v>1.1000000000000001</v>
      </c>
      <c r="H62" s="721" t="s">
        <v>3167</v>
      </c>
      <c r="I62" s="24">
        <f t="shared" si="15"/>
        <v>1</v>
      </c>
      <c r="J62" s="721"/>
      <c r="K62" s="24">
        <f t="shared" si="16"/>
        <v>1</v>
      </c>
      <c r="L62" s="721"/>
      <c r="M62" s="24">
        <f t="shared" si="17"/>
        <v>1</v>
      </c>
      <c r="N62" s="721"/>
      <c r="O62" s="24">
        <f t="shared" si="18"/>
        <v>1</v>
      </c>
      <c r="P62" s="721"/>
      <c r="Q62" s="24">
        <f t="shared" si="19"/>
        <v>1</v>
      </c>
      <c r="R62" s="717">
        <f t="shared" ca="1" si="20"/>
        <v>98269</v>
      </c>
      <c r="S62" s="362">
        <f t="shared" ca="1" si="21"/>
        <v>9281</v>
      </c>
      <c r="T62" s="2964" t="s">
        <v>3184</v>
      </c>
    </row>
    <row r="63" spans="1:20"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79622</v>
      </c>
      <c r="S63" s="362">
        <f t="shared" ca="1" si="21"/>
        <v>3609</v>
      </c>
      <c r="T63" s="2964" t="s">
        <v>3185</v>
      </c>
    </row>
    <row r="64" spans="1:20"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79622</v>
      </c>
      <c r="S64" s="362">
        <f t="shared" ca="1" si="21"/>
        <v>3563</v>
      </c>
      <c r="T64" s="2964" t="s">
        <v>3185</v>
      </c>
    </row>
    <row r="65" spans="1:20"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79622</v>
      </c>
      <c r="S65" s="362">
        <f t="shared" ca="1" si="21"/>
        <v>3566</v>
      </c>
      <c r="T65" s="2964" t="s">
        <v>3185</v>
      </c>
    </row>
    <row r="66" spans="1:20"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79622</v>
      </c>
      <c r="S66" s="362">
        <f t="shared" ca="1" si="21"/>
        <v>3566</v>
      </c>
      <c r="T66" s="2964" t="s">
        <v>3185</v>
      </c>
    </row>
    <row r="67" spans="1:20"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79622</v>
      </c>
      <c r="S67" s="362">
        <f t="shared" ca="1" si="21"/>
        <v>3612</v>
      </c>
      <c r="T67" s="2964" t="s">
        <v>3185</v>
      </c>
    </row>
    <row r="68" spans="1:20"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79622</v>
      </c>
      <c r="S68" s="362">
        <f t="shared" ca="1" si="21"/>
        <v>3566</v>
      </c>
      <c r="T68" s="2964" t="s">
        <v>3185</v>
      </c>
    </row>
    <row r="69" spans="1:20" ht="13.5">
      <c r="A69" s="2937" t="s">
        <v>3098</v>
      </c>
      <c r="B69" s="2938">
        <v>453.64</v>
      </c>
      <c r="C69" s="24">
        <f t="shared" si="12"/>
        <v>1</v>
      </c>
      <c r="D69" s="721" t="s">
        <v>3163</v>
      </c>
      <c r="E69" s="24">
        <f t="shared" si="13"/>
        <v>1.05</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83603</v>
      </c>
      <c r="S69" s="362">
        <f t="shared" ca="1" si="21"/>
        <v>3793</v>
      </c>
      <c r="T69" s="2964" t="s">
        <v>3185</v>
      </c>
    </row>
    <row r="70" spans="1:20" ht="13.5">
      <c r="A70" s="2937" t="s">
        <v>3099</v>
      </c>
      <c r="B70" s="2937">
        <v>453.64</v>
      </c>
      <c r="C70" s="24">
        <f t="shared" si="12"/>
        <v>1</v>
      </c>
      <c r="D70" s="721" t="s">
        <v>3163</v>
      </c>
      <c r="E70" s="24">
        <f t="shared" si="13"/>
        <v>1.05</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83603</v>
      </c>
      <c r="S70" s="362">
        <f t="shared" ca="1" si="21"/>
        <v>3793</v>
      </c>
      <c r="T70" s="2964" t="s">
        <v>3185</v>
      </c>
    </row>
    <row r="71" spans="1:20" ht="13.5">
      <c r="A71" s="2937" t="s">
        <v>3100</v>
      </c>
      <c r="B71" s="2937">
        <v>453.64</v>
      </c>
      <c r="C71" s="24">
        <f t="shared" si="12"/>
        <v>1</v>
      </c>
      <c r="D71" s="721" t="s">
        <v>3163</v>
      </c>
      <c r="E71" s="24">
        <f t="shared" si="13"/>
        <v>1.05</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83603</v>
      </c>
      <c r="S71" s="362">
        <f t="shared" ca="1" si="21"/>
        <v>3793</v>
      </c>
      <c r="T71" s="2964" t="s">
        <v>3185</v>
      </c>
    </row>
    <row r="72" spans="1:20" ht="13.5">
      <c r="A72" s="2937" t="s">
        <v>3101</v>
      </c>
      <c r="B72" s="2937">
        <v>447.82</v>
      </c>
      <c r="C72" s="24">
        <f t="shared" si="12"/>
        <v>1</v>
      </c>
      <c r="D72" s="721" t="s">
        <v>3163</v>
      </c>
      <c r="E72" s="24">
        <f t="shared" si="13"/>
        <v>1.05</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83603</v>
      </c>
      <c r="S72" s="362">
        <f t="shared" ca="1" si="21"/>
        <v>3744</v>
      </c>
      <c r="T72" s="2964" t="s">
        <v>3185</v>
      </c>
    </row>
    <row r="73" spans="1:20" ht="13.5">
      <c r="A73" s="2937" t="s">
        <v>3102</v>
      </c>
      <c r="B73" s="2937">
        <v>453.64</v>
      </c>
      <c r="C73" s="24">
        <f t="shared" si="12"/>
        <v>1</v>
      </c>
      <c r="D73" s="721" t="s">
        <v>3163</v>
      </c>
      <c r="E73" s="24">
        <f t="shared" si="13"/>
        <v>1.05</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83603</v>
      </c>
      <c r="S73" s="362">
        <f t="shared" ca="1" si="21"/>
        <v>3793</v>
      </c>
      <c r="T73" s="2964" t="s">
        <v>3185</v>
      </c>
    </row>
    <row r="74" spans="1:20" ht="13.5">
      <c r="A74" s="2937" t="s">
        <v>3103</v>
      </c>
      <c r="B74" s="2937">
        <v>447.82</v>
      </c>
      <c r="C74" s="24">
        <f t="shared" si="12"/>
        <v>1</v>
      </c>
      <c r="D74" s="721" t="s">
        <v>3163</v>
      </c>
      <c r="E74" s="24">
        <f t="shared" si="13"/>
        <v>1.05</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83603</v>
      </c>
      <c r="S74" s="362">
        <f t="shared" ca="1" si="21"/>
        <v>3744</v>
      </c>
      <c r="T74" s="2964" t="s">
        <v>3185</v>
      </c>
    </row>
    <row r="75" spans="1:20" ht="13.5">
      <c r="A75" s="2937" t="s">
        <v>3104</v>
      </c>
      <c r="B75" s="2937">
        <v>447.82</v>
      </c>
      <c r="C75" s="24">
        <f t="shared" si="12"/>
        <v>1</v>
      </c>
      <c r="D75" s="721" t="s">
        <v>3163</v>
      </c>
      <c r="E75" s="24">
        <f t="shared" si="13"/>
        <v>1.05</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83603</v>
      </c>
      <c r="S75" s="362">
        <f t="shared" ca="1" si="21"/>
        <v>3744</v>
      </c>
      <c r="T75" s="2964" t="s">
        <v>3185</v>
      </c>
    </row>
    <row r="76" spans="1:20" ht="13.5">
      <c r="A76" s="2937" t="s">
        <v>3105</v>
      </c>
      <c r="B76" s="2937">
        <v>447.82</v>
      </c>
      <c r="C76" s="24">
        <f t="shared" si="12"/>
        <v>1</v>
      </c>
      <c r="D76" s="721" t="s">
        <v>3163</v>
      </c>
      <c r="E76" s="24">
        <f t="shared" si="13"/>
        <v>1.05</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83603</v>
      </c>
      <c r="S76" s="362">
        <f t="shared" ca="1" si="21"/>
        <v>3744</v>
      </c>
      <c r="T76" s="2964" t="s">
        <v>3185</v>
      </c>
    </row>
    <row r="77" spans="1:20" ht="13.5">
      <c r="A77" s="2937" t="s">
        <v>3106</v>
      </c>
      <c r="B77" s="2937">
        <v>447.82</v>
      </c>
      <c r="C77" s="24">
        <f t="shared" si="12"/>
        <v>1</v>
      </c>
      <c r="D77" s="721" t="s">
        <v>3163</v>
      </c>
      <c r="E77" s="24">
        <f t="shared" si="13"/>
        <v>1.05</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83603</v>
      </c>
      <c r="S77" s="362">
        <f t="shared" ca="1" si="21"/>
        <v>3744</v>
      </c>
      <c r="T77" s="2964" t="s">
        <v>3185</v>
      </c>
    </row>
    <row r="78" spans="1:20" ht="13.5">
      <c r="A78" s="2937" t="s">
        <v>3107</v>
      </c>
      <c r="B78" s="2937">
        <v>453.64</v>
      </c>
      <c r="C78" s="24">
        <f t="shared" si="12"/>
        <v>1</v>
      </c>
      <c r="D78" s="721" t="s">
        <v>3170</v>
      </c>
      <c r="E78" s="24">
        <f t="shared" si="13"/>
        <v>1.1000000000000001</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87584</v>
      </c>
      <c r="S78" s="362">
        <f t="shared" ref="S78:S122" ca="1" si="22">ROUND(R78*B78/10000,0)</f>
        <v>3973</v>
      </c>
      <c r="T78" s="2964" t="s">
        <v>3185</v>
      </c>
    </row>
    <row r="79" spans="1:20" ht="13.5">
      <c r="A79" s="2937" t="s">
        <v>3108</v>
      </c>
      <c r="B79" s="2937">
        <v>447.82</v>
      </c>
      <c r="C79" s="24">
        <f t="shared" si="12"/>
        <v>1</v>
      </c>
      <c r="D79" s="721" t="s">
        <v>3170</v>
      </c>
      <c r="E79" s="24">
        <f t="shared" si="13"/>
        <v>1.1000000000000001</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87584</v>
      </c>
      <c r="S79" s="362">
        <f t="shared" ca="1" si="22"/>
        <v>3922</v>
      </c>
      <c r="T79" s="2964" t="s">
        <v>3185</v>
      </c>
    </row>
    <row r="80" spans="1:20" ht="13.5">
      <c r="A80" s="2937" t="s">
        <v>3109</v>
      </c>
      <c r="B80" s="2937">
        <v>453.64</v>
      </c>
      <c r="C80" s="24">
        <f t="shared" si="12"/>
        <v>1</v>
      </c>
      <c r="D80" s="721" t="s">
        <v>3170</v>
      </c>
      <c r="E80" s="24">
        <f t="shared" si="13"/>
        <v>1.1000000000000001</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87584</v>
      </c>
      <c r="S80" s="362">
        <f t="shared" ca="1" si="22"/>
        <v>3973</v>
      </c>
      <c r="T80" s="2964" t="s">
        <v>3185</v>
      </c>
    </row>
    <row r="81" spans="1:20" ht="13.5">
      <c r="A81" s="2937" t="s">
        <v>3110</v>
      </c>
      <c r="B81" s="2937">
        <v>447.82</v>
      </c>
      <c r="C81" s="24">
        <f t="shared" si="12"/>
        <v>1</v>
      </c>
      <c r="D81" s="721" t="s">
        <v>3170</v>
      </c>
      <c r="E81" s="24">
        <f t="shared" si="13"/>
        <v>1.1000000000000001</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87584</v>
      </c>
      <c r="S81" s="362">
        <f t="shared" ca="1" si="22"/>
        <v>3922</v>
      </c>
      <c r="T81" s="2964" t="s">
        <v>3185</v>
      </c>
    </row>
    <row r="82" spans="1:20" ht="13.5">
      <c r="A82" s="2937" t="s">
        <v>3111</v>
      </c>
      <c r="B82" s="2937">
        <v>453.43</v>
      </c>
      <c r="C82" s="24">
        <f t="shared" si="12"/>
        <v>1</v>
      </c>
      <c r="D82" s="721" t="s">
        <v>3170</v>
      </c>
      <c r="E82" s="24">
        <f t="shared" si="13"/>
        <v>1.1000000000000001</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87584</v>
      </c>
      <c r="S82" s="362">
        <f t="shared" ca="1" si="22"/>
        <v>3971</v>
      </c>
      <c r="T82" s="2964" t="s">
        <v>3185</v>
      </c>
    </row>
    <row r="83" spans="1:20" ht="13.5">
      <c r="A83" s="2937" t="s">
        <v>3112</v>
      </c>
      <c r="B83" s="2937">
        <v>447.63</v>
      </c>
      <c r="C83" s="24">
        <f t="shared" si="12"/>
        <v>1</v>
      </c>
      <c r="D83" s="721" t="s">
        <v>3170</v>
      </c>
      <c r="E83" s="24">
        <f t="shared" si="13"/>
        <v>1.1000000000000001</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87584</v>
      </c>
      <c r="S83" s="362">
        <f t="shared" ca="1" si="22"/>
        <v>3921</v>
      </c>
      <c r="T83" s="2964" t="s">
        <v>3185</v>
      </c>
    </row>
    <row r="84" spans="1:20" ht="13.5">
      <c r="A84" s="2937" t="s">
        <v>3113</v>
      </c>
      <c r="B84" s="2937">
        <v>453.43</v>
      </c>
      <c r="C84" s="24">
        <f t="shared" si="12"/>
        <v>1</v>
      </c>
      <c r="D84" s="721" t="s">
        <v>3170</v>
      </c>
      <c r="E84" s="24">
        <f t="shared" si="13"/>
        <v>1.1000000000000001</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87584</v>
      </c>
      <c r="S84" s="362">
        <f t="shared" ca="1" si="22"/>
        <v>3971</v>
      </c>
      <c r="T84" s="2964" t="s">
        <v>3185</v>
      </c>
    </row>
    <row r="85" spans="1:20" ht="13.5">
      <c r="A85" s="2937" t="s">
        <v>3114</v>
      </c>
      <c r="B85" s="2937">
        <v>447.63</v>
      </c>
      <c r="C85" s="24">
        <f t="shared" si="12"/>
        <v>1</v>
      </c>
      <c r="D85" s="721" t="s">
        <v>3170</v>
      </c>
      <c r="E85" s="24">
        <f t="shared" si="13"/>
        <v>1.1000000000000001</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87584</v>
      </c>
      <c r="S85" s="362">
        <f t="shared" ca="1" si="22"/>
        <v>3921</v>
      </c>
      <c r="T85" s="2964" t="s">
        <v>3185</v>
      </c>
    </row>
    <row r="86" spans="1:20" ht="13.5">
      <c r="A86" s="2937" t="s">
        <v>3115</v>
      </c>
      <c r="B86" s="2937">
        <v>453.43</v>
      </c>
      <c r="C86" s="24">
        <f t="shared" si="12"/>
        <v>1</v>
      </c>
      <c r="D86" s="721" t="s">
        <v>3170</v>
      </c>
      <c r="E86" s="24">
        <f t="shared" si="13"/>
        <v>1.1000000000000001</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87584</v>
      </c>
      <c r="S86" s="362">
        <f t="shared" ca="1" si="22"/>
        <v>3971</v>
      </c>
      <c r="T86" s="2964" t="s">
        <v>3185</v>
      </c>
    </row>
    <row r="87" spans="1:20" ht="13.5">
      <c r="A87" s="2937" t="s">
        <v>3116</v>
      </c>
      <c r="B87" s="2937">
        <v>447.63</v>
      </c>
      <c r="C87" s="24">
        <f t="shared" si="12"/>
        <v>1</v>
      </c>
      <c r="D87" s="721" t="s">
        <v>3170</v>
      </c>
      <c r="E87" s="24">
        <f t="shared" si="13"/>
        <v>1.1000000000000001</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87584</v>
      </c>
      <c r="S87" s="362">
        <f t="shared" ca="1" si="22"/>
        <v>3921</v>
      </c>
      <c r="T87" s="2964" t="s">
        <v>3185</v>
      </c>
    </row>
    <row r="88" spans="1:20" ht="13.5">
      <c r="A88" s="2937" t="s">
        <v>3066</v>
      </c>
      <c r="B88" s="2937">
        <v>923.06</v>
      </c>
      <c r="C88" s="24">
        <f t="shared" si="12"/>
        <v>1.02</v>
      </c>
      <c r="D88" s="721" t="s">
        <v>3170</v>
      </c>
      <c r="E88" s="24">
        <f t="shared" si="13"/>
        <v>1.1000000000000001</v>
      </c>
      <c r="F88" s="721" t="s">
        <v>3175</v>
      </c>
      <c r="G88" s="24">
        <f t="shared" si="14"/>
        <v>1.1000000000000001</v>
      </c>
      <c r="H88" s="721" t="s">
        <v>3167</v>
      </c>
      <c r="I88" s="24">
        <f t="shared" si="15"/>
        <v>1</v>
      </c>
      <c r="J88" s="721"/>
      <c r="K88" s="24">
        <f t="shared" si="16"/>
        <v>1</v>
      </c>
      <c r="L88" s="721"/>
      <c r="M88" s="24">
        <f t="shared" si="17"/>
        <v>1</v>
      </c>
      <c r="N88" s="721"/>
      <c r="O88" s="24">
        <f t="shared" si="18"/>
        <v>1</v>
      </c>
      <c r="P88" s="721"/>
      <c r="Q88" s="24">
        <f t="shared" si="19"/>
        <v>1</v>
      </c>
      <c r="R88" s="717">
        <f t="shared" ca="1" si="20"/>
        <v>98269</v>
      </c>
      <c r="S88" s="362">
        <f t="shared" ca="1" si="22"/>
        <v>9071</v>
      </c>
      <c r="T88" s="2964" t="s">
        <v>3185</v>
      </c>
    </row>
    <row r="89" spans="1:20" ht="13.5">
      <c r="A89" s="2937" t="s">
        <v>3067</v>
      </c>
      <c r="B89" s="2937">
        <v>917.11</v>
      </c>
      <c r="C89" s="24">
        <f t="shared" si="12"/>
        <v>1.02</v>
      </c>
      <c r="D89" s="721" t="s">
        <v>3170</v>
      </c>
      <c r="E89" s="24">
        <f t="shared" si="13"/>
        <v>1.1000000000000001</v>
      </c>
      <c r="F89" s="721" t="s">
        <v>3175</v>
      </c>
      <c r="G89" s="24">
        <f t="shared" si="14"/>
        <v>1.1000000000000001</v>
      </c>
      <c r="H89" s="721" t="s">
        <v>3167</v>
      </c>
      <c r="I89" s="24">
        <f t="shared" si="15"/>
        <v>1</v>
      </c>
      <c r="J89" s="721"/>
      <c r="K89" s="24">
        <f t="shared" si="16"/>
        <v>1</v>
      </c>
      <c r="L89" s="721"/>
      <c r="M89" s="24">
        <f t="shared" si="17"/>
        <v>1</v>
      </c>
      <c r="N89" s="721"/>
      <c r="O89" s="24">
        <f t="shared" si="18"/>
        <v>1</v>
      </c>
      <c r="P89" s="721"/>
      <c r="Q89" s="24">
        <f t="shared" si="19"/>
        <v>1</v>
      </c>
      <c r="R89" s="717">
        <f t="shared" ca="1" si="20"/>
        <v>98269</v>
      </c>
      <c r="S89" s="362">
        <f t="shared" ca="1" si="22"/>
        <v>9012</v>
      </c>
      <c r="T89" s="2964" t="s">
        <v>3185</v>
      </c>
    </row>
    <row r="90" spans="1:20"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79622</v>
      </c>
      <c r="S90" s="362">
        <f t="shared" ca="1" si="22"/>
        <v>3563</v>
      </c>
      <c r="T90" s="2964" t="s">
        <v>3185</v>
      </c>
    </row>
    <row r="91" spans="1:20" ht="13.5">
      <c r="A91" s="2937" t="s">
        <v>3117</v>
      </c>
      <c r="B91" s="2937">
        <v>447.82</v>
      </c>
      <c r="C91" s="24">
        <f t="shared" si="23"/>
        <v>1</v>
      </c>
      <c r="D91" s="721" t="s">
        <v>3163</v>
      </c>
      <c r="E91" s="24">
        <f t="shared" si="24"/>
        <v>1.05</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83603</v>
      </c>
      <c r="S91" s="362">
        <f t="shared" ca="1" si="22"/>
        <v>3744</v>
      </c>
      <c r="T91" s="2964" t="s">
        <v>3185</v>
      </c>
    </row>
    <row r="92" spans="1:20" ht="13.5">
      <c r="A92" s="2937" t="s">
        <v>3118</v>
      </c>
      <c r="B92" s="2937">
        <v>453.64</v>
      </c>
      <c r="C92" s="24">
        <f t="shared" si="23"/>
        <v>1</v>
      </c>
      <c r="D92" s="721" t="s">
        <v>3163</v>
      </c>
      <c r="E92" s="24">
        <f t="shared" si="24"/>
        <v>1.05</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83603</v>
      </c>
      <c r="S92" s="362">
        <f t="shared" ca="1" si="22"/>
        <v>3793</v>
      </c>
      <c r="T92" s="2964" t="s">
        <v>3185</v>
      </c>
    </row>
    <row r="93" spans="1:20" ht="13.5">
      <c r="A93" s="2937" t="s">
        <v>3119</v>
      </c>
      <c r="B93" s="2937">
        <v>447.82</v>
      </c>
      <c r="C93" s="24">
        <f t="shared" si="23"/>
        <v>1</v>
      </c>
      <c r="D93" s="721" t="s">
        <v>3163</v>
      </c>
      <c r="E93" s="24">
        <f t="shared" si="24"/>
        <v>1.05</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83603</v>
      </c>
      <c r="S93" s="362">
        <f t="shared" ca="1" si="22"/>
        <v>3744</v>
      </c>
      <c r="T93" s="2964" t="s">
        <v>3185</v>
      </c>
    </row>
    <row r="94" spans="1:20" ht="13.5">
      <c r="A94" s="2937" t="s">
        <v>3120</v>
      </c>
      <c r="B94" s="2937">
        <v>447.82</v>
      </c>
      <c r="C94" s="24">
        <f t="shared" si="23"/>
        <v>1</v>
      </c>
      <c r="D94" s="721" t="s">
        <v>3163</v>
      </c>
      <c r="E94" s="24">
        <f t="shared" si="24"/>
        <v>1.05</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83603</v>
      </c>
      <c r="S94" s="362">
        <f t="shared" ca="1" si="22"/>
        <v>3744</v>
      </c>
      <c r="T94" s="2964" t="s">
        <v>3185</v>
      </c>
    </row>
    <row r="95" spans="1:20" ht="13.5">
      <c r="A95" s="2937" t="s">
        <v>3121</v>
      </c>
      <c r="B95" s="2937">
        <v>447.82</v>
      </c>
      <c r="C95" s="24">
        <f t="shared" si="23"/>
        <v>1</v>
      </c>
      <c r="D95" s="721" t="s">
        <v>3170</v>
      </c>
      <c r="E95" s="24">
        <f t="shared" si="24"/>
        <v>1.1000000000000001</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87584</v>
      </c>
      <c r="S95" s="362">
        <f t="shared" ca="1" si="22"/>
        <v>3922</v>
      </c>
      <c r="T95" s="2964" t="s">
        <v>3185</v>
      </c>
    </row>
    <row r="96" spans="1:20" ht="13.5">
      <c r="A96" s="2937" t="s">
        <v>3080</v>
      </c>
      <c r="B96" s="2937">
        <v>447.82</v>
      </c>
      <c r="C96" s="24">
        <f t="shared" si="23"/>
        <v>1</v>
      </c>
      <c r="D96" s="721" t="s">
        <v>3170</v>
      </c>
      <c r="E96" s="24">
        <f t="shared" si="24"/>
        <v>1.1000000000000001</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87584</v>
      </c>
      <c r="S96" s="362">
        <f t="shared" ca="1" si="22"/>
        <v>3922</v>
      </c>
      <c r="T96" s="2964" t="s">
        <v>3185</v>
      </c>
    </row>
    <row r="97" spans="1:20" ht="13.5">
      <c r="A97" s="2937" t="s">
        <v>3084</v>
      </c>
      <c r="B97" s="2937">
        <v>447.63</v>
      </c>
      <c r="C97" s="24">
        <f t="shared" si="23"/>
        <v>1</v>
      </c>
      <c r="D97" s="721" t="s">
        <v>3170</v>
      </c>
      <c r="E97" s="24">
        <f t="shared" si="24"/>
        <v>1.1000000000000001</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87584</v>
      </c>
      <c r="S97" s="362">
        <f t="shared" ca="1" si="22"/>
        <v>3921</v>
      </c>
      <c r="T97" s="2964" t="s">
        <v>3185</v>
      </c>
    </row>
    <row r="98" spans="1:20" ht="13.5">
      <c r="A98" s="2937" t="s">
        <v>3088</v>
      </c>
      <c r="B98" s="2937">
        <v>447.63</v>
      </c>
      <c r="C98" s="24">
        <f t="shared" si="23"/>
        <v>1</v>
      </c>
      <c r="D98" s="721" t="s">
        <v>3170</v>
      </c>
      <c r="E98" s="24">
        <f t="shared" si="24"/>
        <v>1.1000000000000001</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87584</v>
      </c>
      <c r="S98" s="362">
        <f t="shared" ca="1" si="22"/>
        <v>3921</v>
      </c>
      <c r="T98" s="2964" t="s">
        <v>3185</v>
      </c>
    </row>
    <row r="99" spans="1:20" ht="13.5">
      <c r="A99" s="2937" t="s">
        <v>3089</v>
      </c>
      <c r="B99" s="2937">
        <v>453.43</v>
      </c>
      <c r="C99" s="24">
        <f t="shared" si="23"/>
        <v>1</v>
      </c>
      <c r="D99" s="721" t="s">
        <v>3170</v>
      </c>
      <c r="E99" s="24">
        <f t="shared" si="24"/>
        <v>1.1000000000000001</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87584</v>
      </c>
      <c r="S99" s="362">
        <f t="shared" ca="1" si="22"/>
        <v>3971</v>
      </c>
      <c r="T99" s="2964" t="s">
        <v>3185</v>
      </c>
    </row>
    <row r="100" spans="1:20" ht="13.5">
      <c r="A100" s="2937" t="s">
        <v>3090</v>
      </c>
      <c r="B100" s="2937">
        <v>447.63</v>
      </c>
      <c r="C100" s="24">
        <f t="shared" si="23"/>
        <v>1</v>
      </c>
      <c r="D100" s="721" t="s">
        <v>3170</v>
      </c>
      <c r="E100" s="24">
        <f t="shared" si="24"/>
        <v>1.1000000000000001</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87584</v>
      </c>
      <c r="S100" s="362">
        <f t="shared" ca="1" si="22"/>
        <v>3921</v>
      </c>
      <c r="T100" s="2964" t="s">
        <v>3185</v>
      </c>
    </row>
    <row r="101" spans="1:20" ht="13.5">
      <c r="A101" s="2937" t="s">
        <v>3091</v>
      </c>
      <c r="B101" s="2937">
        <v>453.43</v>
      </c>
      <c r="C101" s="24">
        <f t="shared" si="23"/>
        <v>1</v>
      </c>
      <c r="D101" s="721" t="s">
        <v>3170</v>
      </c>
      <c r="E101" s="24">
        <f t="shared" si="24"/>
        <v>1.1000000000000001</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87584</v>
      </c>
      <c r="S101" s="362">
        <f t="shared" ca="1" si="22"/>
        <v>3971</v>
      </c>
      <c r="T101" s="2964" t="s">
        <v>3185</v>
      </c>
    </row>
    <row r="102" spans="1:20" ht="13.5">
      <c r="A102" s="2937" t="s">
        <v>3070</v>
      </c>
      <c r="B102" s="2937">
        <v>917.11</v>
      </c>
      <c r="C102" s="24">
        <f t="shared" si="23"/>
        <v>1.02</v>
      </c>
      <c r="D102" s="721" t="s">
        <v>3170</v>
      </c>
      <c r="E102" s="24">
        <f t="shared" si="24"/>
        <v>1.1000000000000001</v>
      </c>
      <c r="F102" s="721" t="s">
        <v>3175</v>
      </c>
      <c r="G102" s="24">
        <f t="shared" si="25"/>
        <v>1.1000000000000001</v>
      </c>
      <c r="H102" s="721" t="s">
        <v>3167</v>
      </c>
      <c r="I102" s="24">
        <f t="shared" si="26"/>
        <v>1</v>
      </c>
      <c r="J102" s="721"/>
      <c r="K102" s="24">
        <f t="shared" si="27"/>
        <v>1</v>
      </c>
      <c r="L102" s="721"/>
      <c r="M102" s="24">
        <f t="shared" si="28"/>
        <v>1</v>
      </c>
      <c r="N102" s="721"/>
      <c r="O102" s="24">
        <f t="shared" si="29"/>
        <v>1</v>
      </c>
      <c r="P102" s="721"/>
      <c r="Q102" s="24">
        <f t="shared" si="30"/>
        <v>1</v>
      </c>
      <c r="R102" s="717">
        <f t="shared" ca="1" si="31"/>
        <v>98269</v>
      </c>
      <c r="S102" s="362">
        <f t="shared" ca="1" si="22"/>
        <v>9012</v>
      </c>
      <c r="T102" s="2964" t="s">
        <v>3185</v>
      </c>
    </row>
    <row r="103" spans="1:20" ht="13.5">
      <c r="A103" s="2937" t="s">
        <v>3188</v>
      </c>
      <c r="B103" s="2937">
        <v>923.06</v>
      </c>
      <c r="C103" s="24">
        <f t="shared" si="23"/>
        <v>1.02</v>
      </c>
      <c r="D103" s="721" t="s">
        <v>3170</v>
      </c>
      <c r="E103" s="24">
        <f t="shared" si="24"/>
        <v>1.1000000000000001</v>
      </c>
      <c r="F103" s="721" t="s">
        <v>3175</v>
      </c>
      <c r="G103" s="24">
        <f t="shared" si="25"/>
        <v>1.1000000000000001</v>
      </c>
      <c r="H103" s="721" t="s">
        <v>3167</v>
      </c>
      <c r="I103" s="24">
        <f t="shared" si="26"/>
        <v>1</v>
      </c>
      <c r="J103" s="721"/>
      <c r="K103" s="24">
        <f t="shared" si="27"/>
        <v>1</v>
      </c>
      <c r="L103" s="721"/>
      <c r="M103" s="24">
        <f t="shared" si="28"/>
        <v>1</v>
      </c>
      <c r="N103" s="721"/>
      <c r="O103" s="24">
        <f t="shared" si="29"/>
        <v>1</v>
      </c>
      <c r="P103" s="721"/>
      <c r="Q103" s="24">
        <f t="shared" si="30"/>
        <v>1</v>
      </c>
      <c r="R103" s="717">
        <f t="shared" ca="1" si="31"/>
        <v>98269</v>
      </c>
      <c r="S103" s="362">
        <f t="shared" ca="1" si="22"/>
        <v>9071</v>
      </c>
      <c r="T103" s="2964" t="s">
        <v>3185</v>
      </c>
    </row>
    <row r="104" spans="1:20">
      <c r="A104" s="2966" t="s">
        <v>3191</v>
      </c>
      <c r="B104" s="59">
        <v>445.41</v>
      </c>
      <c r="C104" s="24">
        <f t="shared" si="23"/>
        <v>1</v>
      </c>
      <c r="D104" s="721" t="s">
        <v>3170</v>
      </c>
      <c r="E104" s="24">
        <f t="shared" si="24"/>
        <v>1.1000000000000001</v>
      </c>
      <c r="F104" s="721" t="s">
        <v>3133</v>
      </c>
      <c r="G104" s="24">
        <f t="shared" si="25"/>
        <v>1</v>
      </c>
      <c r="H104" s="721" t="s">
        <v>3167</v>
      </c>
      <c r="I104" s="24">
        <f t="shared" si="26"/>
        <v>1</v>
      </c>
      <c r="J104" s="721"/>
      <c r="K104" s="24">
        <f t="shared" si="27"/>
        <v>1</v>
      </c>
      <c r="L104" s="721"/>
      <c r="M104" s="24">
        <f t="shared" si="28"/>
        <v>1</v>
      </c>
      <c r="N104" s="721"/>
      <c r="O104" s="24">
        <f t="shared" si="29"/>
        <v>1</v>
      </c>
      <c r="P104" s="721"/>
      <c r="Q104" s="24">
        <f t="shared" si="30"/>
        <v>1</v>
      </c>
      <c r="R104" s="717">
        <f t="shared" ca="1" si="31"/>
        <v>87584</v>
      </c>
      <c r="S104" s="362">
        <f t="shared" ca="1" si="22"/>
        <v>3901</v>
      </c>
      <c r="T104" s="2967" t="s">
        <v>3186</v>
      </c>
    </row>
    <row r="105" spans="1:20">
      <c r="A105" s="2966" t="s">
        <v>3189</v>
      </c>
      <c r="B105" s="59">
        <v>515.91</v>
      </c>
      <c r="C105" s="24">
        <f t="shared" si="23"/>
        <v>1</v>
      </c>
      <c r="D105" s="721" t="s">
        <v>3163</v>
      </c>
      <c r="E105" s="24">
        <f t="shared" si="24"/>
        <v>1.05</v>
      </c>
      <c r="F105" s="721" t="s">
        <v>3133</v>
      </c>
      <c r="G105" s="24">
        <f t="shared" si="25"/>
        <v>1</v>
      </c>
      <c r="H105" s="721" t="s">
        <v>3167</v>
      </c>
      <c r="I105" s="24">
        <f t="shared" si="26"/>
        <v>1</v>
      </c>
      <c r="J105" s="721"/>
      <c r="K105" s="24">
        <f t="shared" si="27"/>
        <v>1</v>
      </c>
      <c r="L105" s="721"/>
      <c r="M105" s="24">
        <f t="shared" si="28"/>
        <v>1</v>
      </c>
      <c r="N105" s="721"/>
      <c r="O105" s="24">
        <f t="shared" si="29"/>
        <v>1</v>
      </c>
      <c r="P105" s="721"/>
      <c r="Q105" s="24">
        <f t="shared" si="30"/>
        <v>1</v>
      </c>
      <c r="R105" s="717">
        <f t="shared" ca="1" si="31"/>
        <v>83603</v>
      </c>
      <c r="S105" s="362">
        <f t="shared" ca="1" si="22"/>
        <v>4313</v>
      </c>
      <c r="T105" s="2967" t="s">
        <v>3187</v>
      </c>
    </row>
    <row r="106" spans="1:20">
      <c r="A106" s="2966" t="s">
        <v>3190</v>
      </c>
      <c r="B106" s="59">
        <v>514.79999999999995</v>
      </c>
      <c r="C106" s="24">
        <f t="shared" si="23"/>
        <v>1</v>
      </c>
      <c r="D106" s="721" t="s">
        <v>3163</v>
      </c>
      <c r="E106" s="24">
        <f t="shared" si="24"/>
        <v>1.05</v>
      </c>
      <c r="F106" s="721" t="s">
        <v>3133</v>
      </c>
      <c r="G106" s="24">
        <f t="shared" si="25"/>
        <v>1</v>
      </c>
      <c r="H106" s="721" t="s">
        <v>3167</v>
      </c>
      <c r="I106" s="24">
        <f t="shared" si="26"/>
        <v>1</v>
      </c>
      <c r="J106" s="721"/>
      <c r="K106" s="24">
        <f t="shared" si="27"/>
        <v>1</v>
      </c>
      <c r="L106" s="721"/>
      <c r="M106" s="24">
        <f t="shared" si="28"/>
        <v>1</v>
      </c>
      <c r="N106" s="721"/>
      <c r="O106" s="24">
        <f t="shared" si="29"/>
        <v>1</v>
      </c>
      <c r="P106" s="721"/>
      <c r="Q106" s="24">
        <f t="shared" si="30"/>
        <v>1</v>
      </c>
      <c r="R106" s="717">
        <f t="shared" ca="1" si="31"/>
        <v>83603</v>
      </c>
      <c r="S106" s="362">
        <f t="shared" ca="1" si="22"/>
        <v>4304</v>
      </c>
      <c r="T106" s="2967" t="s">
        <v>3187</v>
      </c>
    </row>
    <row r="107" spans="1:20" ht="13.5" thickBot="1">
      <c r="A107" s="2970" t="s">
        <v>3192</v>
      </c>
      <c r="B107" s="2970">
        <v>514.79999999999995</v>
      </c>
      <c r="C107" s="24">
        <f t="shared" si="23"/>
        <v>1</v>
      </c>
      <c r="D107" s="721" t="s">
        <v>3163</v>
      </c>
      <c r="E107" s="24">
        <f t="shared" si="24"/>
        <v>1.05</v>
      </c>
      <c r="F107" s="721" t="s">
        <v>3133</v>
      </c>
      <c r="G107" s="24">
        <f t="shared" si="25"/>
        <v>1</v>
      </c>
      <c r="H107" s="721" t="s">
        <v>3167</v>
      </c>
      <c r="I107" s="24">
        <f t="shared" si="26"/>
        <v>1</v>
      </c>
      <c r="J107" s="721"/>
      <c r="K107" s="24">
        <f t="shared" si="27"/>
        <v>1</v>
      </c>
      <c r="L107" s="721"/>
      <c r="M107" s="24">
        <f t="shared" si="28"/>
        <v>1</v>
      </c>
      <c r="N107" s="721"/>
      <c r="O107" s="24">
        <f t="shared" si="29"/>
        <v>1</v>
      </c>
      <c r="P107" s="721"/>
      <c r="Q107" s="24">
        <f t="shared" si="30"/>
        <v>1</v>
      </c>
      <c r="R107" s="717">
        <f t="shared" ca="1" si="31"/>
        <v>83603</v>
      </c>
      <c r="S107" s="362">
        <f t="shared" ca="1" si="22"/>
        <v>4304</v>
      </c>
      <c r="T107" s="2968">
        <v>4</v>
      </c>
    </row>
    <row r="108" spans="1:20" ht="13.5" thickBot="1">
      <c r="A108" s="2970" t="s">
        <v>3193</v>
      </c>
      <c r="B108" s="2970">
        <v>515.91</v>
      </c>
      <c r="C108" s="24">
        <f t="shared" si="23"/>
        <v>1</v>
      </c>
      <c r="D108" s="721" t="s">
        <v>3163</v>
      </c>
      <c r="E108" s="24">
        <f t="shared" si="24"/>
        <v>1.05</v>
      </c>
      <c r="F108" s="721" t="s">
        <v>3133</v>
      </c>
      <c r="G108" s="24">
        <f t="shared" si="25"/>
        <v>1</v>
      </c>
      <c r="H108" s="721" t="s">
        <v>3167</v>
      </c>
      <c r="I108" s="24">
        <f t="shared" si="26"/>
        <v>1</v>
      </c>
      <c r="J108" s="721"/>
      <c r="K108" s="24">
        <f t="shared" si="27"/>
        <v>1</v>
      </c>
      <c r="L108" s="721"/>
      <c r="M108" s="24">
        <f t="shared" si="28"/>
        <v>1</v>
      </c>
      <c r="N108" s="721"/>
      <c r="O108" s="24">
        <f t="shared" si="29"/>
        <v>1</v>
      </c>
      <c r="P108" s="721"/>
      <c r="Q108" s="24">
        <f t="shared" si="30"/>
        <v>1</v>
      </c>
      <c r="R108" s="717">
        <f t="shared" ca="1" si="31"/>
        <v>83603</v>
      </c>
      <c r="S108" s="362">
        <f t="shared" ca="1" si="22"/>
        <v>4313</v>
      </c>
      <c r="T108" s="2968">
        <v>4</v>
      </c>
    </row>
    <row r="109" spans="1:20" ht="13.5" thickBot="1">
      <c r="A109" s="2970" t="s">
        <v>3194</v>
      </c>
      <c r="B109" s="2970">
        <v>514.79999999999995</v>
      </c>
      <c r="C109" s="24">
        <f t="shared" si="23"/>
        <v>1</v>
      </c>
      <c r="D109" s="721" t="s">
        <v>3163</v>
      </c>
      <c r="E109" s="24">
        <f t="shared" si="24"/>
        <v>1.05</v>
      </c>
      <c r="F109" s="721" t="s">
        <v>3133</v>
      </c>
      <c r="G109" s="24">
        <f t="shared" si="25"/>
        <v>1</v>
      </c>
      <c r="H109" s="721" t="s">
        <v>3167</v>
      </c>
      <c r="I109" s="24">
        <f t="shared" si="26"/>
        <v>1</v>
      </c>
      <c r="J109" s="721"/>
      <c r="K109" s="24">
        <f t="shared" si="27"/>
        <v>1</v>
      </c>
      <c r="L109" s="721"/>
      <c r="M109" s="24">
        <f t="shared" si="28"/>
        <v>1</v>
      </c>
      <c r="N109" s="721"/>
      <c r="O109" s="24">
        <f t="shared" si="29"/>
        <v>1</v>
      </c>
      <c r="P109" s="721"/>
      <c r="Q109" s="24">
        <f t="shared" si="30"/>
        <v>1</v>
      </c>
      <c r="R109" s="717">
        <f t="shared" ca="1" si="31"/>
        <v>83603</v>
      </c>
      <c r="S109" s="362">
        <f t="shared" ca="1" si="22"/>
        <v>4304</v>
      </c>
      <c r="T109" s="2968">
        <v>4</v>
      </c>
    </row>
    <row r="110" spans="1:20" ht="13.5" thickBot="1">
      <c r="A110" s="2970" t="s">
        <v>3195</v>
      </c>
      <c r="B110" s="2970">
        <v>515.91</v>
      </c>
      <c r="C110" s="24">
        <f t="shared" si="23"/>
        <v>1</v>
      </c>
      <c r="D110" s="721" t="s">
        <v>3163</v>
      </c>
      <c r="E110" s="24">
        <f t="shared" si="24"/>
        <v>1.05</v>
      </c>
      <c r="F110" s="721" t="s">
        <v>3133</v>
      </c>
      <c r="G110" s="24">
        <f t="shared" si="25"/>
        <v>1</v>
      </c>
      <c r="H110" s="721" t="s">
        <v>3167</v>
      </c>
      <c r="I110" s="24">
        <f t="shared" si="26"/>
        <v>1</v>
      </c>
      <c r="J110" s="721"/>
      <c r="K110" s="24">
        <f t="shared" si="27"/>
        <v>1</v>
      </c>
      <c r="L110" s="721"/>
      <c r="M110" s="24">
        <f t="shared" si="28"/>
        <v>1</v>
      </c>
      <c r="N110" s="721"/>
      <c r="O110" s="24">
        <f t="shared" si="29"/>
        <v>1</v>
      </c>
      <c r="P110" s="721"/>
      <c r="Q110" s="24">
        <f t="shared" si="30"/>
        <v>1</v>
      </c>
      <c r="R110" s="717">
        <f t="shared" ca="1" si="31"/>
        <v>83603</v>
      </c>
      <c r="S110" s="362">
        <f t="shared" ca="1" si="22"/>
        <v>4313</v>
      </c>
      <c r="T110" s="2968">
        <v>4</v>
      </c>
    </row>
    <row r="111" spans="1:20" ht="13.5" thickBot="1">
      <c r="A111" s="2970" t="s">
        <v>3196</v>
      </c>
      <c r="B111" s="2970">
        <v>514.79999999999995</v>
      </c>
      <c r="C111" s="24">
        <f t="shared" si="23"/>
        <v>1</v>
      </c>
      <c r="D111" s="721" t="s">
        <v>3170</v>
      </c>
      <c r="E111" s="24">
        <f t="shared" si="24"/>
        <v>1.1000000000000001</v>
      </c>
      <c r="F111" s="721" t="s">
        <v>3133</v>
      </c>
      <c r="G111" s="24">
        <f t="shared" si="25"/>
        <v>1</v>
      </c>
      <c r="H111" s="721" t="s">
        <v>3167</v>
      </c>
      <c r="I111" s="24">
        <f t="shared" si="26"/>
        <v>1</v>
      </c>
      <c r="J111" s="721"/>
      <c r="K111" s="24">
        <f t="shared" si="27"/>
        <v>1</v>
      </c>
      <c r="L111" s="721"/>
      <c r="M111" s="24">
        <f t="shared" si="28"/>
        <v>1</v>
      </c>
      <c r="N111" s="721"/>
      <c r="O111" s="24">
        <f t="shared" si="29"/>
        <v>1</v>
      </c>
      <c r="P111" s="721"/>
      <c r="Q111" s="24">
        <f t="shared" si="30"/>
        <v>1</v>
      </c>
      <c r="R111" s="717">
        <f t="shared" ca="1" si="31"/>
        <v>87584</v>
      </c>
      <c r="S111" s="362">
        <f t="shared" ca="1" si="22"/>
        <v>4509</v>
      </c>
      <c r="T111" s="2968">
        <v>4</v>
      </c>
    </row>
    <row r="112" spans="1:20" ht="13.5" thickBot="1">
      <c r="A112" s="2970" t="s">
        <v>3197</v>
      </c>
      <c r="B112" s="2970">
        <v>514.79999999999995</v>
      </c>
      <c r="C112" s="24">
        <f t="shared" si="23"/>
        <v>1</v>
      </c>
      <c r="D112" s="721" t="s">
        <v>3170</v>
      </c>
      <c r="E112" s="24">
        <f t="shared" si="24"/>
        <v>1.1000000000000001</v>
      </c>
      <c r="F112" s="721" t="s">
        <v>3133</v>
      </c>
      <c r="G112" s="24">
        <f t="shared" si="25"/>
        <v>1</v>
      </c>
      <c r="H112" s="721" t="s">
        <v>3167</v>
      </c>
      <c r="I112" s="24">
        <f t="shared" si="26"/>
        <v>1</v>
      </c>
      <c r="J112" s="721"/>
      <c r="K112" s="24">
        <f t="shared" si="27"/>
        <v>1</v>
      </c>
      <c r="L112" s="721"/>
      <c r="M112" s="24">
        <f t="shared" si="28"/>
        <v>1</v>
      </c>
      <c r="N112" s="721"/>
      <c r="O112" s="24">
        <f t="shared" si="29"/>
        <v>1</v>
      </c>
      <c r="P112" s="721"/>
      <c r="Q112" s="24">
        <f t="shared" si="30"/>
        <v>1</v>
      </c>
      <c r="R112" s="717">
        <f t="shared" ca="1" si="31"/>
        <v>87584</v>
      </c>
      <c r="S112" s="362">
        <f t="shared" ca="1" si="22"/>
        <v>4509</v>
      </c>
      <c r="T112" s="2968">
        <v>4</v>
      </c>
    </row>
    <row r="113" spans="1:20" ht="13.5" thickBot="1">
      <c r="A113" s="2970" t="s">
        <v>3198</v>
      </c>
      <c r="B113" s="2970">
        <v>514.79999999999995</v>
      </c>
      <c r="C113" s="24">
        <f t="shared" si="23"/>
        <v>1</v>
      </c>
      <c r="D113" s="721" t="s">
        <v>3170</v>
      </c>
      <c r="E113" s="24">
        <f t="shared" si="24"/>
        <v>1.1000000000000001</v>
      </c>
      <c r="F113" s="721" t="s">
        <v>3133</v>
      </c>
      <c r="G113" s="24">
        <f t="shared" si="25"/>
        <v>1</v>
      </c>
      <c r="H113" s="721" t="s">
        <v>3167</v>
      </c>
      <c r="I113" s="24">
        <f t="shared" si="26"/>
        <v>1</v>
      </c>
      <c r="J113" s="721"/>
      <c r="K113" s="24">
        <f t="shared" si="27"/>
        <v>1</v>
      </c>
      <c r="L113" s="721"/>
      <c r="M113" s="24">
        <f t="shared" si="28"/>
        <v>1</v>
      </c>
      <c r="N113" s="721"/>
      <c r="O113" s="24">
        <f t="shared" si="29"/>
        <v>1</v>
      </c>
      <c r="P113" s="721"/>
      <c r="Q113" s="24">
        <f t="shared" si="30"/>
        <v>1</v>
      </c>
      <c r="R113" s="717">
        <f t="shared" ca="1" si="31"/>
        <v>87584</v>
      </c>
      <c r="S113" s="362">
        <f t="shared" ca="1" si="22"/>
        <v>4509</v>
      </c>
      <c r="T113" s="2968">
        <v>4</v>
      </c>
    </row>
    <row r="114" spans="1:20" ht="13.5" thickBot="1">
      <c r="A114" s="2970" t="s">
        <v>3199</v>
      </c>
      <c r="B114" s="2970">
        <v>515.91</v>
      </c>
      <c r="C114" s="24">
        <f t="shared" si="23"/>
        <v>1</v>
      </c>
      <c r="D114" s="721" t="s">
        <v>3158</v>
      </c>
      <c r="E114" s="24">
        <f t="shared" si="24"/>
        <v>1</v>
      </c>
      <c r="F114" s="721" t="s">
        <v>3133</v>
      </c>
      <c r="G114" s="24">
        <f t="shared" si="25"/>
        <v>1</v>
      </c>
      <c r="H114" s="721" t="s">
        <v>3167</v>
      </c>
      <c r="I114" s="24">
        <f t="shared" si="26"/>
        <v>1</v>
      </c>
      <c r="J114" s="721"/>
      <c r="K114" s="24">
        <f t="shared" si="27"/>
        <v>1</v>
      </c>
      <c r="L114" s="721"/>
      <c r="M114" s="24">
        <f t="shared" si="28"/>
        <v>1</v>
      </c>
      <c r="N114" s="721"/>
      <c r="O114" s="24">
        <f t="shared" si="29"/>
        <v>1</v>
      </c>
      <c r="P114" s="721"/>
      <c r="Q114" s="24">
        <f t="shared" si="30"/>
        <v>1</v>
      </c>
      <c r="R114" s="717">
        <f t="shared" ca="1" si="31"/>
        <v>79622</v>
      </c>
      <c r="S114" s="362">
        <f t="shared" ca="1" si="22"/>
        <v>4108</v>
      </c>
      <c r="T114" s="2968">
        <v>4</v>
      </c>
    </row>
    <row r="115" spans="1:20" ht="13.5" thickBot="1">
      <c r="A115" s="2970" t="s">
        <v>3200</v>
      </c>
      <c r="B115" s="2970">
        <v>514.79999999999995</v>
      </c>
      <c r="C115" s="24">
        <f t="shared" si="23"/>
        <v>1</v>
      </c>
      <c r="D115" s="721" t="s">
        <v>3163</v>
      </c>
      <c r="E115" s="24">
        <f t="shared" si="24"/>
        <v>1.05</v>
      </c>
      <c r="F115" s="721" t="s">
        <v>3133</v>
      </c>
      <c r="G115" s="24">
        <f t="shared" si="25"/>
        <v>1</v>
      </c>
      <c r="H115" s="721" t="s">
        <v>3167</v>
      </c>
      <c r="I115" s="24">
        <f t="shared" si="26"/>
        <v>1</v>
      </c>
      <c r="J115" s="721"/>
      <c r="K115" s="24">
        <f t="shared" si="27"/>
        <v>1</v>
      </c>
      <c r="L115" s="721"/>
      <c r="M115" s="24">
        <f t="shared" si="28"/>
        <v>1</v>
      </c>
      <c r="N115" s="721"/>
      <c r="O115" s="24">
        <f t="shared" si="29"/>
        <v>1</v>
      </c>
      <c r="P115" s="721"/>
      <c r="Q115" s="24">
        <f t="shared" si="30"/>
        <v>1</v>
      </c>
      <c r="R115" s="717">
        <f t="shared" ca="1" si="31"/>
        <v>83603</v>
      </c>
      <c r="S115" s="362">
        <f t="shared" ca="1" si="22"/>
        <v>4304</v>
      </c>
      <c r="T115" s="2968">
        <v>4</v>
      </c>
    </row>
    <row r="116" spans="1:20" ht="13.5" thickBot="1">
      <c r="A116" s="2971" t="s">
        <v>3201</v>
      </c>
      <c r="B116" s="2971">
        <v>515.91</v>
      </c>
      <c r="C116" s="24">
        <f t="shared" si="23"/>
        <v>1</v>
      </c>
      <c r="D116" s="721" t="s">
        <v>3170</v>
      </c>
      <c r="E116" s="24">
        <f t="shared" si="24"/>
        <v>1.1000000000000001</v>
      </c>
      <c r="F116" s="721" t="s">
        <v>3133</v>
      </c>
      <c r="G116" s="24">
        <f t="shared" si="25"/>
        <v>1</v>
      </c>
      <c r="H116" s="721" t="s">
        <v>3167</v>
      </c>
      <c r="I116" s="24">
        <f t="shared" si="26"/>
        <v>1</v>
      </c>
      <c r="J116" s="721"/>
      <c r="K116" s="24">
        <f t="shared" si="27"/>
        <v>1</v>
      </c>
      <c r="L116" s="721"/>
      <c r="M116" s="24">
        <f t="shared" si="28"/>
        <v>1</v>
      </c>
      <c r="N116" s="721"/>
      <c r="O116" s="24">
        <f t="shared" si="29"/>
        <v>1</v>
      </c>
      <c r="P116" s="721"/>
      <c r="Q116" s="24">
        <f t="shared" si="30"/>
        <v>1</v>
      </c>
      <c r="R116" s="717">
        <f t="shared" ca="1" si="31"/>
        <v>87584</v>
      </c>
      <c r="S116" s="362">
        <f t="shared" ca="1" si="22"/>
        <v>4519</v>
      </c>
      <c r="T116" s="2969">
        <v>4</v>
      </c>
    </row>
    <row r="117" spans="1:20" ht="13.5" thickBot="1">
      <c r="A117" s="2970" t="s">
        <v>3192</v>
      </c>
      <c r="B117" s="2970">
        <v>445.86</v>
      </c>
      <c r="C117" s="24">
        <f t="shared" si="23"/>
        <v>1</v>
      </c>
      <c r="D117" s="721" t="s">
        <v>3163</v>
      </c>
      <c r="E117" s="24">
        <f t="shared" si="24"/>
        <v>1.05</v>
      </c>
      <c r="F117" s="721" t="s">
        <v>3133</v>
      </c>
      <c r="G117" s="24">
        <f t="shared" si="25"/>
        <v>1</v>
      </c>
      <c r="H117" s="721" t="s">
        <v>3167</v>
      </c>
      <c r="I117" s="24">
        <f t="shared" si="26"/>
        <v>1</v>
      </c>
      <c r="J117" s="721"/>
      <c r="K117" s="24">
        <f t="shared" si="27"/>
        <v>1</v>
      </c>
      <c r="L117" s="721"/>
      <c r="M117" s="24">
        <f t="shared" si="28"/>
        <v>1</v>
      </c>
      <c r="N117" s="721"/>
      <c r="O117" s="24">
        <f t="shared" si="29"/>
        <v>1</v>
      </c>
      <c r="P117" s="721"/>
      <c r="Q117" s="24">
        <f t="shared" si="30"/>
        <v>1</v>
      </c>
      <c r="R117" s="717">
        <f t="shared" ca="1" si="31"/>
        <v>83603</v>
      </c>
      <c r="S117" s="362">
        <f t="shared" ca="1" si="22"/>
        <v>3728</v>
      </c>
      <c r="T117" s="2968">
        <v>7</v>
      </c>
    </row>
    <row r="118" spans="1:20" ht="13.5" thickBot="1">
      <c r="A118" s="2970" t="s">
        <v>3202</v>
      </c>
      <c r="B118" s="2970">
        <v>449.89</v>
      </c>
      <c r="C118" s="24">
        <f t="shared" si="23"/>
        <v>1</v>
      </c>
      <c r="D118" s="721" t="s">
        <v>3163</v>
      </c>
      <c r="E118" s="24">
        <f t="shared" si="24"/>
        <v>1.05</v>
      </c>
      <c r="F118" s="721" t="s">
        <v>3133</v>
      </c>
      <c r="G118" s="24">
        <f t="shared" si="25"/>
        <v>1</v>
      </c>
      <c r="H118" s="721" t="s">
        <v>3167</v>
      </c>
      <c r="I118" s="24">
        <f t="shared" si="26"/>
        <v>1</v>
      </c>
      <c r="J118" s="721"/>
      <c r="K118" s="24">
        <f t="shared" si="27"/>
        <v>1</v>
      </c>
      <c r="L118" s="721"/>
      <c r="M118" s="24">
        <f t="shared" si="28"/>
        <v>1</v>
      </c>
      <c r="N118" s="721"/>
      <c r="O118" s="24">
        <f t="shared" si="29"/>
        <v>1</v>
      </c>
      <c r="P118" s="721"/>
      <c r="Q118" s="24">
        <f t="shared" si="30"/>
        <v>1</v>
      </c>
      <c r="R118" s="717">
        <f t="shared" ca="1" si="31"/>
        <v>83603</v>
      </c>
      <c r="S118" s="362">
        <f t="shared" ca="1" si="22"/>
        <v>3761</v>
      </c>
      <c r="T118" s="2968">
        <v>7</v>
      </c>
    </row>
    <row r="119" spans="1:20" ht="13.5" thickBot="1">
      <c r="A119" s="2970" t="s">
        <v>3203</v>
      </c>
      <c r="B119" s="2970">
        <v>445.86</v>
      </c>
      <c r="C119" s="24">
        <f t="shared" si="23"/>
        <v>1</v>
      </c>
      <c r="D119" s="721" t="s">
        <v>3163</v>
      </c>
      <c r="E119" s="24">
        <f t="shared" si="24"/>
        <v>1.05</v>
      </c>
      <c r="F119" s="721" t="s">
        <v>3133</v>
      </c>
      <c r="G119" s="24">
        <f t="shared" si="25"/>
        <v>1</v>
      </c>
      <c r="H119" s="721" t="s">
        <v>3167</v>
      </c>
      <c r="I119" s="24">
        <f t="shared" si="26"/>
        <v>1</v>
      </c>
      <c r="J119" s="721"/>
      <c r="K119" s="24">
        <f t="shared" si="27"/>
        <v>1</v>
      </c>
      <c r="L119" s="721"/>
      <c r="M119" s="24">
        <f t="shared" si="28"/>
        <v>1</v>
      </c>
      <c r="N119" s="721"/>
      <c r="O119" s="24">
        <f t="shared" si="29"/>
        <v>1</v>
      </c>
      <c r="P119" s="721"/>
      <c r="Q119" s="24">
        <f t="shared" si="30"/>
        <v>1</v>
      </c>
      <c r="R119" s="717">
        <f t="shared" ca="1" si="31"/>
        <v>83603</v>
      </c>
      <c r="S119" s="362">
        <f t="shared" ca="1" si="22"/>
        <v>3728</v>
      </c>
      <c r="T119" s="2968">
        <v>7</v>
      </c>
    </row>
    <row r="120" spans="1:20" ht="13.5" thickBot="1">
      <c r="A120" s="2970" t="s">
        <v>3204</v>
      </c>
      <c r="B120" s="2970">
        <v>445.86</v>
      </c>
      <c r="C120" s="24">
        <f t="shared" si="23"/>
        <v>1</v>
      </c>
      <c r="D120" s="721" t="s">
        <v>3163</v>
      </c>
      <c r="E120" s="24">
        <f t="shared" si="24"/>
        <v>1.05</v>
      </c>
      <c r="F120" s="721" t="s">
        <v>3133</v>
      </c>
      <c r="G120" s="24">
        <f t="shared" si="25"/>
        <v>1</v>
      </c>
      <c r="H120" s="721" t="s">
        <v>3167</v>
      </c>
      <c r="I120" s="24">
        <f t="shared" si="26"/>
        <v>1</v>
      </c>
      <c r="J120" s="721"/>
      <c r="K120" s="24">
        <f t="shared" si="27"/>
        <v>1</v>
      </c>
      <c r="L120" s="721"/>
      <c r="M120" s="24">
        <f t="shared" si="28"/>
        <v>1</v>
      </c>
      <c r="N120" s="721"/>
      <c r="O120" s="24">
        <f t="shared" si="29"/>
        <v>1</v>
      </c>
      <c r="P120" s="721"/>
      <c r="Q120" s="24">
        <f t="shared" si="30"/>
        <v>1</v>
      </c>
      <c r="R120" s="717">
        <f t="shared" ca="1" si="31"/>
        <v>83603</v>
      </c>
      <c r="S120" s="362">
        <f t="shared" ca="1" si="22"/>
        <v>3728</v>
      </c>
      <c r="T120" s="2968">
        <v>7</v>
      </c>
    </row>
    <row r="121" spans="1:20" ht="13.5" thickBot="1">
      <c r="A121" s="2971" t="s">
        <v>3205</v>
      </c>
      <c r="B121" s="2971">
        <v>449.89</v>
      </c>
      <c r="C121" s="24">
        <f t="shared" si="23"/>
        <v>1</v>
      </c>
      <c r="D121" s="721" t="s">
        <v>3163</v>
      </c>
      <c r="E121" s="24">
        <f t="shared" si="24"/>
        <v>1.05</v>
      </c>
      <c r="F121" s="721" t="s">
        <v>3133</v>
      </c>
      <c r="G121" s="24">
        <f t="shared" si="25"/>
        <v>1</v>
      </c>
      <c r="H121" s="721" t="s">
        <v>3167</v>
      </c>
      <c r="I121" s="24">
        <f t="shared" si="26"/>
        <v>1</v>
      </c>
      <c r="J121" s="721"/>
      <c r="K121" s="24">
        <f t="shared" si="27"/>
        <v>1</v>
      </c>
      <c r="L121" s="721"/>
      <c r="M121" s="24">
        <f t="shared" si="28"/>
        <v>1</v>
      </c>
      <c r="N121" s="721"/>
      <c r="O121" s="24">
        <f t="shared" si="29"/>
        <v>1</v>
      </c>
      <c r="P121" s="721"/>
      <c r="Q121" s="24">
        <f t="shared" si="30"/>
        <v>1</v>
      </c>
      <c r="R121" s="717">
        <f t="shared" ca="1" si="31"/>
        <v>83603</v>
      </c>
      <c r="S121" s="362">
        <f t="shared" ca="1" si="22"/>
        <v>3761</v>
      </c>
      <c r="T121" s="2969">
        <v>7</v>
      </c>
    </row>
    <row r="122" spans="1:20" ht="13.5" thickBot="1">
      <c r="A122" s="2970" t="s">
        <v>3206</v>
      </c>
      <c r="B122" s="2970">
        <v>449.89</v>
      </c>
      <c r="C122" s="24">
        <f t="shared" si="23"/>
        <v>1</v>
      </c>
      <c r="D122" s="721" t="s">
        <v>3170</v>
      </c>
      <c r="E122" s="24">
        <f t="shared" si="24"/>
        <v>1.1000000000000001</v>
      </c>
      <c r="F122" s="721" t="s">
        <v>3133</v>
      </c>
      <c r="G122" s="24">
        <f t="shared" si="25"/>
        <v>1</v>
      </c>
      <c r="H122" s="721" t="s">
        <v>3167</v>
      </c>
      <c r="I122" s="24">
        <f t="shared" si="26"/>
        <v>1</v>
      </c>
      <c r="J122" s="721"/>
      <c r="K122" s="24">
        <f t="shared" si="27"/>
        <v>1</v>
      </c>
      <c r="L122" s="721"/>
      <c r="M122" s="24">
        <f t="shared" si="28"/>
        <v>1</v>
      </c>
      <c r="N122" s="721"/>
      <c r="O122" s="24">
        <f t="shared" si="29"/>
        <v>1</v>
      </c>
      <c r="P122" s="721"/>
      <c r="Q122" s="24">
        <f t="shared" si="30"/>
        <v>1</v>
      </c>
      <c r="R122" s="717">
        <f t="shared" ca="1" si="31"/>
        <v>87584</v>
      </c>
      <c r="S122" s="362">
        <f t="shared" ca="1" si="22"/>
        <v>3940</v>
      </c>
      <c r="T122" s="2968">
        <v>7</v>
      </c>
    </row>
    <row r="123" spans="1:20" ht="13.5" thickBot="1">
      <c r="A123" s="2971" t="s">
        <v>3207</v>
      </c>
      <c r="B123" s="2971">
        <v>449.44</v>
      </c>
      <c r="C123" s="24">
        <f t="shared" si="23"/>
        <v>1</v>
      </c>
      <c r="D123" s="721" t="s">
        <v>3170</v>
      </c>
      <c r="E123" s="24">
        <f t="shared" si="24"/>
        <v>1.1000000000000001</v>
      </c>
      <c r="F123" s="721" t="s">
        <v>3133</v>
      </c>
      <c r="G123" s="24">
        <f t="shared" si="25"/>
        <v>1</v>
      </c>
      <c r="H123" s="721" t="s">
        <v>3167</v>
      </c>
      <c r="I123" s="24">
        <f t="shared" si="26"/>
        <v>1</v>
      </c>
      <c r="J123" s="721"/>
      <c r="K123" s="24">
        <f t="shared" si="27"/>
        <v>1</v>
      </c>
      <c r="L123" s="721"/>
      <c r="M123" s="24">
        <f t="shared" si="28"/>
        <v>1</v>
      </c>
      <c r="N123" s="721"/>
      <c r="O123" s="24">
        <f t="shared" si="29"/>
        <v>1</v>
      </c>
      <c r="P123" s="721"/>
      <c r="Q123" s="24">
        <f t="shared" si="30"/>
        <v>1</v>
      </c>
      <c r="R123" s="717">
        <f t="shared" ca="1" si="31"/>
        <v>87584</v>
      </c>
      <c r="S123" s="362">
        <f t="shared" ref="S123:S186" ca="1" si="32">ROUND(R123*B123/10000,0)</f>
        <v>3936</v>
      </c>
      <c r="T123" s="2969">
        <v>7</v>
      </c>
    </row>
    <row r="124" spans="1:20" ht="13.5" thickBot="1">
      <c r="A124" s="2971" t="s">
        <v>3208</v>
      </c>
      <c r="B124" s="2971">
        <v>445.86</v>
      </c>
      <c r="C124" s="24">
        <f t="shared" si="23"/>
        <v>1</v>
      </c>
      <c r="D124" s="721" t="s">
        <v>3158</v>
      </c>
      <c r="E124" s="24">
        <f t="shared" si="24"/>
        <v>1</v>
      </c>
      <c r="F124" s="721" t="s">
        <v>3133</v>
      </c>
      <c r="G124" s="24">
        <f t="shared" si="25"/>
        <v>1</v>
      </c>
      <c r="H124" s="721" t="s">
        <v>3167</v>
      </c>
      <c r="I124" s="24">
        <f t="shared" si="26"/>
        <v>1</v>
      </c>
      <c r="J124" s="721"/>
      <c r="K124" s="24">
        <f t="shared" si="27"/>
        <v>1</v>
      </c>
      <c r="L124" s="721"/>
      <c r="M124" s="24">
        <f t="shared" si="28"/>
        <v>1</v>
      </c>
      <c r="N124" s="721"/>
      <c r="O124" s="24">
        <f t="shared" si="29"/>
        <v>1</v>
      </c>
      <c r="P124" s="721"/>
      <c r="Q124" s="24">
        <f t="shared" si="30"/>
        <v>1</v>
      </c>
      <c r="R124" s="717">
        <f t="shared" ca="1" si="31"/>
        <v>79622</v>
      </c>
      <c r="S124" s="362">
        <f t="shared" ca="1" si="32"/>
        <v>3550</v>
      </c>
      <c r="T124" s="2969">
        <v>7</v>
      </c>
    </row>
    <row r="125" spans="1:20" ht="13.5" thickBot="1">
      <c r="A125" s="2971" t="s">
        <v>3209</v>
      </c>
      <c r="B125" s="2971">
        <v>445.86</v>
      </c>
      <c r="C125" s="24">
        <f t="shared" si="23"/>
        <v>1</v>
      </c>
      <c r="D125" s="721" t="s">
        <v>3170</v>
      </c>
      <c r="E125" s="24">
        <f t="shared" si="24"/>
        <v>1.1000000000000001</v>
      </c>
      <c r="F125" s="721" t="s">
        <v>3133</v>
      </c>
      <c r="G125" s="24">
        <f t="shared" si="25"/>
        <v>1</v>
      </c>
      <c r="H125" s="721" t="s">
        <v>3167</v>
      </c>
      <c r="I125" s="24">
        <f t="shared" si="26"/>
        <v>1</v>
      </c>
      <c r="J125" s="721"/>
      <c r="K125" s="24">
        <f t="shared" si="27"/>
        <v>1</v>
      </c>
      <c r="L125" s="721"/>
      <c r="M125" s="24">
        <f t="shared" si="28"/>
        <v>1</v>
      </c>
      <c r="N125" s="721"/>
      <c r="O125" s="24">
        <f t="shared" si="29"/>
        <v>1</v>
      </c>
      <c r="P125" s="721"/>
      <c r="Q125" s="24">
        <f t="shared" si="30"/>
        <v>1</v>
      </c>
      <c r="R125" s="717">
        <f t="shared" ca="1" si="31"/>
        <v>87584</v>
      </c>
      <c r="S125" s="362">
        <f t="shared" ca="1" si="32"/>
        <v>3905</v>
      </c>
      <c r="T125" s="2969">
        <v>7</v>
      </c>
    </row>
    <row r="126" spans="1:20" ht="13.5" thickBot="1">
      <c r="A126" s="2971" t="s">
        <v>3210</v>
      </c>
      <c r="B126" s="2971">
        <v>449.54</v>
      </c>
      <c r="C126" s="24">
        <f t="shared" si="23"/>
        <v>1</v>
      </c>
      <c r="D126" s="721" t="s">
        <v>3158</v>
      </c>
      <c r="E126" s="24">
        <f t="shared" si="24"/>
        <v>1</v>
      </c>
      <c r="F126" s="721" t="s">
        <v>3133</v>
      </c>
      <c r="G126" s="24">
        <f t="shared" si="25"/>
        <v>1</v>
      </c>
      <c r="H126" s="721" t="s">
        <v>3167</v>
      </c>
      <c r="I126" s="24">
        <f t="shared" si="26"/>
        <v>1</v>
      </c>
      <c r="J126" s="721"/>
      <c r="K126" s="24">
        <f t="shared" si="27"/>
        <v>1</v>
      </c>
      <c r="L126" s="721"/>
      <c r="M126" s="24">
        <f t="shared" si="28"/>
        <v>1</v>
      </c>
      <c r="N126" s="721"/>
      <c r="O126" s="24">
        <f t="shared" si="29"/>
        <v>1</v>
      </c>
      <c r="P126" s="721"/>
      <c r="Q126" s="24">
        <f t="shared" si="30"/>
        <v>1</v>
      </c>
      <c r="R126" s="717">
        <f t="shared" ca="1" si="31"/>
        <v>79622</v>
      </c>
      <c r="S126" s="362">
        <f t="shared" ca="1" si="32"/>
        <v>3579</v>
      </c>
      <c r="T126" s="2969">
        <v>7</v>
      </c>
    </row>
    <row r="127" spans="1:20" ht="13.5" thickBot="1">
      <c r="A127" s="2971" t="s">
        <v>3211</v>
      </c>
      <c r="B127" s="2971">
        <v>449.89</v>
      </c>
      <c r="C127" s="24">
        <f t="shared" si="23"/>
        <v>1</v>
      </c>
      <c r="D127" s="721" t="s">
        <v>3170</v>
      </c>
      <c r="E127" s="24">
        <f t="shared" si="24"/>
        <v>1.1000000000000001</v>
      </c>
      <c r="F127" s="721" t="s">
        <v>3133</v>
      </c>
      <c r="G127" s="24">
        <f t="shared" si="25"/>
        <v>1</v>
      </c>
      <c r="H127" s="721" t="s">
        <v>3167</v>
      </c>
      <c r="I127" s="24">
        <f t="shared" si="26"/>
        <v>1</v>
      </c>
      <c r="J127" s="721"/>
      <c r="K127" s="24">
        <f t="shared" si="27"/>
        <v>1</v>
      </c>
      <c r="L127" s="721"/>
      <c r="M127" s="24">
        <f t="shared" si="28"/>
        <v>1</v>
      </c>
      <c r="N127" s="721"/>
      <c r="O127" s="24">
        <f t="shared" si="29"/>
        <v>1</v>
      </c>
      <c r="P127" s="721"/>
      <c r="Q127" s="24">
        <f t="shared" si="30"/>
        <v>1</v>
      </c>
      <c r="R127" s="717">
        <f t="shared" ca="1" si="31"/>
        <v>87584</v>
      </c>
      <c r="S127" s="362">
        <f t="shared" ca="1" si="32"/>
        <v>3940</v>
      </c>
      <c r="T127" s="2969">
        <v>7</v>
      </c>
    </row>
    <row r="128" spans="1:20" ht="13.5" thickBot="1">
      <c r="A128" s="2970" t="s">
        <v>3212</v>
      </c>
      <c r="B128" s="2970">
        <v>445.86</v>
      </c>
      <c r="C128" s="24">
        <f t="shared" si="23"/>
        <v>1</v>
      </c>
      <c r="D128" s="721" t="s">
        <v>3170</v>
      </c>
      <c r="E128" s="24">
        <f t="shared" si="24"/>
        <v>1.1000000000000001</v>
      </c>
      <c r="F128" s="721" t="s">
        <v>3133</v>
      </c>
      <c r="G128" s="24">
        <f t="shared" si="25"/>
        <v>1</v>
      </c>
      <c r="H128" s="721" t="s">
        <v>3167</v>
      </c>
      <c r="I128" s="24">
        <f t="shared" si="26"/>
        <v>1</v>
      </c>
      <c r="J128" s="721"/>
      <c r="K128" s="24">
        <f t="shared" si="27"/>
        <v>1</v>
      </c>
      <c r="L128" s="721"/>
      <c r="M128" s="24">
        <f t="shared" si="28"/>
        <v>1</v>
      </c>
      <c r="N128" s="721"/>
      <c r="O128" s="24">
        <f t="shared" si="29"/>
        <v>1</v>
      </c>
      <c r="P128" s="721"/>
      <c r="Q128" s="24">
        <f t="shared" si="30"/>
        <v>1</v>
      </c>
      <c r="R128" s="717">
        <f t="shared" ca="1" si="31"/>
        <v>87584</v>
      </c>
      <c r="S128" s="362">
        <f t="shared" ca="1" si="32"/>
        <v>3905</v>
      </c>
      <c r="T128" s="2968">
        <v>7</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65" t="s">
        <v>121</v>
      </c>
    </row>
    <row r="43" spans="1:7" ht="13.5" customHeight="1">
      <c r="A43" s="955" t="s">
        <v>792</v>
      </c>
      <c r="B43" s="260" t="s">
        <v>1064</v>
      </c>
      <c r="C43" s="283">
        <f ca="1">ROUND(IF('数据-取费表'!B22&lt;=1,C39*F22*'数据-取费表'!B21/2,C39*(POWER((1+F22),'数据-取费表'!B21/2)-1)),0)</f>
        <v>1</v>
      </c>
      <c r="D43" s="283"/>
      <c r="E43" s="283"/>
      <c r="F43" s="284"/>
      <c r="G43" s="3166"/>
    </row>
    <row r="44" spans="1:7" ht="13.5" customHeight="1">
      <c r="A44" s="955" t="s">
        <v>793</v>
      </c>
      <c r="B44" s="260" t="s">
        <v>1066</v>
      </c>
      <c r="C44" s="283">
        <f ca="1">ROUND(IF('数据-取费表'!B22&lt;=1,C40*F22*'数据-取费表'!B21/2,C40*(POWER((1+F22),'数据-取费表'!B21/2)-1)),4)</f>
        <v>1.4E-3</v>
      </c>
      <c r="D44" s="283"/>
      <c r="E44" s="283"/>
      <c r="F44" s="284"/>
      <c r="G44" s="3167"/>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02" t="s">
        <v>156</v>
      </c>
      <c r="B1" s="3302"/>
      <c r="C1" s="3302"/>
      <c r="D1" s="3302"/>
      <c r="E1" s="3302"/>
      <c r="F1" s="330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03" t="s">
        <v>169</v>
      </c>
      <c r="B2" s="3303"/>
      <c r="C2" s="3303"/>
      <c r="D2" s="3303"/>
      <c r="E2" s="3303"/>
      <c r="F2" s="330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0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0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02" t="s">
        <v>871</v>
      </c>
      <c r="B1" s="330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
  <sheetViews>
    <sheetView workbookViewId="0">
      <selection activeCell="J17" sqref="J17"/>
    </sheetView>
  </sheetViews>
  <sheetFormatPr defaultRowHeight="13.5"/>
  <sheetData>
    <row r="1" spans="1:6" ht="39" thickBot="1">
      <c r="A1" s="2972" t="s">
        <v>3213</v>
      </c>
      <c r="B1" s="2973" t="s">
        <v>3214</v>
      </c>
      <c r="C1" s="2973" t="s">
        <v>3215</v>
      </c>
      <c r="D1" s="2973" t="s">
        <v>3216</v>
      </c>
      <c r="E1" s="2973" t="s">
        <v>3217</v>
      </c>
      <c r="F1" s="2973" t="s">
        <v>1361</v>
      </c>
    </row>
    <row r="2" spans="1:6" ht="14.25" thickBot="1">
      <c r="A2" s="2974">
        <v>1</v>
      </c>
      <c r="B2" s="2975" t="s">
        <v>3218</v>
      </c>
      <c r="C2" s="2976" t="s">
        <v>3219</v>
      </c>
      <c r="D2" s="2976">
        <v>445.61</v>
      </c>
      <c r="E2" s="2975">
        <v>79622</v>
      </c>
      <c r="F2" s="2975">
        <v>3548</v>
      </c>
    </row>
    <row r="3" spans="1:6" ht="14.25" thickBot="1">
      <c r="A3" s="2974">
        <v>2</v>
      </c>
      <c r="B3" s="2975" t="s">
        <v>3218</v>
      </c>
      <c r="C3" s="2975" t="s">
        <v>3220</v>
      </c>
      <c r="D3" s="2975">
        <v>445.47</v>
      </c>
      <c r="E3" s="2975">
        <v>79622</v>
      </c>
      <c r="F3" s="2975">
        <v>3547</v>
      </c>
    </row>
    <row r="4" spans="1:6" ht="14.25" thickBot="1">
      <c r="A4" s="2974">
        <v>3</v>
      </c>
      <c r="B4" s="2975" t="s">
        <v>3218</v>
      </c>
      <c r="C4" s="2975" t="s">
        <v>3221</v>
      </c>
      <c r="D4" s="2975">
        <v>445.86</v>
      </c>
      <c r="E4" s="2975">
        <v>79622</v>
      </c>
      <c r="F4" s="2975">
        <v>3550</v>
      </c>
    </row>
    <row r="5" spans="1:6" ht="14.25" thickBot="1">
      <c r="A5" s="2974">
        <v>4</v>
      </c>
      <c r="B5" s="2975" t="s">
        <v>3218</v>
      </c>
      <c r="C5" s="2975" t="s">
        <v>3222</v>
      </c>
      <c r="D5" s="2975">
        <v>445.86</v>
      </c>
      <c r="E5" s="2975">
        <v>83603</v>
      </c>
      <c r="F5" s="2975">
        <v>3728</v>
      </c>
    </row>
    <row r="6" spans="1:6" ht="14.25" thickBot="1">
      <c r="A6" s="2974">
        <v>5</v>
      </c>
      <c r="B6" s="2975" t="s">
        <v>3218</v>
      </c>
      <c r="C6" s="2975" t="s">
        <v>3223</v>
      </c>
      <c r="D6" s="2975">
        <v>445.86</v>
      </c>
      <c r="E6" s="2975">
        <v>83603</v>
      </c>
      <c r="F6" s="2975">
        <v>3728</v>
      </c>
    </row>
    <row r="7" spans="1:6" ht="14.25" thickBot="1">
      <c r="A7" s="2974">
        <v>6</v>
      </c>
      <c r="B7" s="2975" t="s">
        <v>3218</v>
      </c>
      <c r="C7" s="2975" t="s">
        <v>3224</v>
      </c>
      <c r="D7" s="2975">
        <v>449.89</v>
      </c>
      <c r="E7" s="2975">
        <v>83603</v>
      </c>
      <c r="F7" s="2975">
        <v>3761</v>
      </c>
    </row>
    <row r="8" spans="1:6" ht="14.25" thickBot="1">
      <c r="A8" s="2974">
        <v>7</v>
      </c>
      <c r="B8" s="2975" t="s">
        <v>3218</v>
      </c>
      <c r="C8" s="2975" t="s">
        <v>3225</v>
      </c>
      <c r="D8" s="2975">
        <v>449.89</v>
      </c>
      <c r="E8" s="2975">
        <v>87584</v>
      </c>
      <c r="F8" s="2975">
        <v>3940</v>
      </c>
    </row>
    <row r="9" spans="1:6" ht="14.25" thickBot="1">
      <c r="A9" s="2974">
        <v>8</v>
      </c>
      <c r="B9" s="2975" t="s">
        <v>3218</v>
      </c>
      <c r="C9" s="2975" t="s">
        <v>3226</v>
      </c>
      <c r="D9" s="2975">
        <v>449.44</v>
      </c>
      <c r="E9" s="2975">
        <v>87584</v>
      </c>
      <c r="F9" s="2975">
        <v>3936</v>
      </c>
    </row>
    <row r="10" spans="1:6" ht="14.25" thickBot="1">
      <c r="A10" s="2974">
        <v>9</v>
      </c>
      <c r="B10" s="2975" t="s">
        <v>3218</v>
      </c>
      <c r="C10" s="2975" t="s">
        <v>3227</v>
      </c>
      <c r="D10" s="2975">
        <v>913.64</v>
      </c>
      <c r="E10" s="2975">
        <v>98269</v>
      </c>
      <c r="F10" s="2975">
        <v>8978</v>
      </c>
    </row>
    <row r="11" spans="1:6" ht="14.25" thickBot="1">
      <c r="A11" s="2974">
        <v>10</v>
      </c>
      <c r="B11" s="2975" t="s">
        <v>3218</v>
      </c>
      <c r="C11" s="2975" t="s">
        <v>3228</v>
      </c>
      <c r="D11" s="2975">
        <v>912.44</v>
      </c>
      <c r="E11" s="2975">
        <v>98269</v>
      </c>
      <c r="F11" s="2975">
        <v>8966</v>
      </c>
    </row>
    <row r="12" spans="1:6" ht="14.25" thickBot="1">
      <c r="A12" s="2974">
        <v>11</v>
      </c>
      <c r="B12" s="2975" t="s">
        <v>3218</v>
      </c>
      <c r="C12" s="2975" t="s">
        <v>3229</v>
      </c>
      <c r="D12" s="2975">
        <v>445.47</v>
      </c>
      <c r="E12" s="2975">
        <v>79622</v>
      </c>
      <c r="F12" s="2975">
        <v>3547</v>
      </c>
    </row>
    <row r="13" spans="1:6" ht="14.25" thickBot="1">
      <c r="A13" s="2974">
        <v>12</v>
      </c>
      <c r="B13" s="2975" t="s">
        <v>3218</v>
      </c>
      <c r="C13" s="2975" t="s">
        <v>3230</v>
      </c>
      <c r="D13" s="2975">
        <v>449.54</v>
      </c>
      <c r="E13" s="2975">
        <v>79622</v>
      </c>
      <c r="F13" s="2975">
        <v>3579</v>
      </c>
    </row>
    <row r="14" spans="1:6" ht="14.25" thickBot="1">
      <c r="A14" s="2974">
        <v>13</v>
      </c>
      <c r="B14" s="2975" t="s">
        <v>3218</v>
      </c>
      <c r="C14" s="2975" t="s">
        <v>3231</v>
      </c>
      <c r="D14" s="2975">
        <v>445.86</v>
      </c>
      <c r="E14" s="2975">
        <v>87584</v>
      </c>
      <c r="F14" s="2975">
        <v>3905</v>
      </c>
    </row>
    <row r="15" spans="1:6" ht="14.25" thickBot="1">
      <c r="A15" s="2974">
        <v>14</v>
      </c>
      <c r="B15" s="2975" t="s">
        <v>3218</v>
      </c>
      <c r="C15" s="2975" t="s">
        <v>3232</v>
      </c>
      <c r="D15" s="2975">
        <v>449.89</v>
      </c>
      <c r="E15" s="2975">
        <v>87584</v>
      </c>
      <c r="F15" s="2975">
        <v>3940</v>
      </c>
    </row>
    <row r="16" spans="1:6" ht="14.25" thickBot="1">
      <c r="A16" s="2974">
        <v>15</v>
      </c>
      <c r="B16" s="2975" t="s">
        <v>3218</v>
      </c>
      <c r="C16" s="2975" t="s">
        <v>3233</v>
      </c>
      <c r="D16" s="2975">
        <v>445.86</v>
      </c>
      <c r="E16" s="2975">
        <v>87584</v>
      </c>
      <c r="F16" s="2975">
        <v>3905</v>
      </c>
    </row>
    <row r="17" spans="1:6" ht="14.25" thickBot="1">
      <c r="A17" s="2974">
        <v>16</v>
      </c>
      <c r="B17" s="2975" t="s">
        <v>3218</v>
      </c>
      <c r="C17" s="2975" t="s">
        <v>3234</v>
      </c>
      <c r="D17" s="2975">
        <v>445.41</v>
      </c>
      <c r="E17" s="2975">
        <v>87584</v>
      </c>
      <c r="F17" s="2975">
        <v>3901</v>
      </c>
    </row>
    <row r="18" spans="1:6" ht="14.25" thickBot="1">
      <c r="A18" s="2974">
        <v>17</v>
      </c>
      <c r="B18" s="2975" t="s">
        <v>3218</v>
      </c>
      <c r="C18" s="2975" t="s">
        <v>3235</v>
      </c>
      <c r="D18" s="2975">
        <v>912.44</v>
      </c>
      <c r="E18" s="2975">
        <v>98269</v>
      </c>
      <c r="F18" s="2975">
        <v>8966</v>
      </c>
    </row>
    <row r="19" spans="1:6" ht="14.25" thickBot="1">
      <c r="A19" s="2974">
        <v>18</v>
      </c>
      <c r="B19" s="2975" t="s">
        <v>3218</v>
      </c>
      <c r="C19" s="2975" t="s">
        <v>3236</v>
      </c>
      <c r="D19" s="2975">
        <v>913.64</v>
      </c>
      <c r="E19" s="2975">
        <v>98269</v>
      </c>
      <c r="F19" s="2975">
        <v>8978</v>
      </c>
    </row>
    <row r="20" spans="1:6" ht="14.25" thickBot="1">
      <c r="A20" s="2974">
        <v>19</v>
      </c>
      <c r="B20" s="2975" t="s">
        <v>3237</v>
      </c>
      <c r="C20" s="2975" t="s">
        <v>3219</v>
      </c>
      <c r="D20" s="2975">
        <v>439.34</v>
      </c>
      <c r="E20" s="2975">
        <v>79622</v>
      </c>
      <c r="F20" s="2975">
        <v>3498</v>
      </c>
    </row>
    <row r="21" spans="1:6" ht="14.25" thickBot="1">
      <c r="A21" s="2974">
        <v>20</v>
      </c>
      <c r="B21" s="2975" t="s">
        <v>3237</v>
      </c>
      <c r="C21" s="2975" t="s">
        <v>3220</v>
      </c>
      <c r="D21" s="2975">
        <v>439.34</v>
      </c>
      <c r="E21" s="2975">
        <v>79622</v>
      </c>
      <c r="F21" s="2975">
        <v>3498</v>
      </c>
    </row>
    <row r="22" spans="1:6" ht="14.25" thickBot="1">
      <c r="A22" s="2974">
        <v>21</v>
      </c>
      <c r="B22" s="2975" t="s">
        <v>3237</v>
      </c>
      <c r="C22" s="2975" t="s">
        <v>3227</v>
      </c>
      <c r="D22" s="2975">
        <v>906.27</v>
      </c>
      <c r="E22" s="2975">
        <v>98269</v>
      </c>
      <c r="F22" s="2975">
        <v>8906</v>
      </c>
    </row>
    <row r="23" spans="1:6" ht="14.25" thickBot="1">
      <c r="A23" s="2974">
        <v>22</v>
      </c>
      <c r="B23" s="2975" t="s">
        <v>3237</v>
      </c>
      <c r="C23" s="2975" t="s">
        <v>3228</v>
      </c>
      <c r="D23" s="2975">
        <v>900.43</v>
      </c>
      <c r="E23" s="2975">
        <v>98269</v>
      </c>
      <c r="F23" s="2975">
        <v>8848</v>
      </c>
    </row>
    <row r="24" spans="1:6" ht="14.25" thickBot="1">
      <c r="A24" s="2974">
        <v>23</v>
      </c>
      <c r="B24" s="2975" t="s">
        <v>3237</v>
      </c>
      <c r="C24" s="2975" t="s">
        <v>3238</v>
      </c>
      <c r="D24" s="2975">
        <v>439.34</v>
      </c>
      <c r="E24" s="2975">
        <v>79622</v>
      </c>
      <c r="F24" s="2975">
        <v>3498</v>
      </c>
    </row>
    <row r="25" spans="1:6" ht="14.25" thickBot="1">
      <c r="A25" s="2974">
        <v>24</v>
      </c>
      <c r="B25" s="2975" t="s">
        <v>3237</v>
      </c>
      <c r="C25" s="2975" t="s">
        <v>3229</v>
      </c>
      <c r="D25" s="2975">
        <v>439.34</v>
      </c>
      <c r="E25" s="2975">
        <v>87584</v>
      </c>
      <c r="F25" s="2975">
        <v>3848</v>
      </c>
    </row>
    <row r="26" spans="1:6" ht="14.25" thickBot="1">
      <c r="A26" s="2974">
        <v>25</v>
      </c>
      <c r="B26" s="2975" t="s">
        <v>3237</v>
      </c>
      <c r="C26" s="2975" t="s">
        <v>3235</v>
      </c>
      <c r="D26" s="2975">
        <v>900.43</v>
      </c>
      <c r="E26" s="2975">
        <v>98269</v>
      </c>
      <c r="F26" s="2975">
        <v>8848</v>
      </c>
    </row>
    <row r="27" spans="1:6" ht="14.25" thickBot="1">
      <c r="A27" s="2974">
        <v>26</v>
      </c>
      <c r="B27" s="2975" t="s">
        <v>3237</v>
      </c>
      <c r="C27" s="2975" t="s">
        <v>3236</v>
      </c>
      <c r="D27" s="2975">
        <v>906.27</v>
      </c>
      <c r="E27" s="2975">
        <v>98269</v>
      </c>
      <c r="F27" s="2975">
        <v>8906</v>
      </c>
    </row>
    <row r="28" spans="1:6" ht="14.25" thickBot="1">
      <c r="A28" s="2974">
        <v>27</v>
      </c>
      <c r="B28" s="2975" t="s">
        <v>3239</v>
      </c>
      <c r="C28" s="2975" t="s">
        <v>3240</v>
      </c>
      <c r="D28" s="2976">
        <v>515.91</v>
      </c>
      <c r="E28" s="2975">
        <v>79622</v>
      </c>
      <c r="F28" s="2975">
        <v>4108</v>
      </c>
    </row>
    <row r="29" spans="1:6" ht="14.25" thickBot="1">
      <c r="A29" s="2974">
        <v>28</v>
      </c>
      <c r="B29" s="2975" t="s">
        <v>3239</v>
      </c>
      <c r="C29" s="2975" t="s">
        <v>3241</v>
      </c>
      <c r="D29" s="2976">
        <v>514.79999999999995</v>
      </c>
      <c r="E29" s="2975">
        <v>83603</v>
      </c>
      <c r="F29" s="2975">
        <v>4304</v>
      </c>
    </row>
    <row r="30" spans="1:6" ht="14.25" thickBot="1">
      <c r="A30" s="2974">
        <v>29</v>
      </c>
      <c r="B30" s="2975" t="s">
        <v>3239</v>
      </c>
      <c r="C30" s="2975" t="s">
        <v>3242</v>
      </c>
      <c r="D30" s="2976">
        <v>515.91</v>
      </c>
      <c r="E30" s="2975">
        <v>83603</v>
      </c>
      <c r="F30" s="2975">
        <v>4313</v>
      </c>
    </row>
    <row r="31" spans="1:6" ht="14.25" thickBot="1">
      <c r="A31" s="2974">
        <v>30</v>
      </c>
      <c r="B31" s="2975" t="s">
        <v>3239</v>
      </c>
      <c r="C31" s="2975" t="s">
        <v>3243</v>
      </c>
      <c r="D31" s="2976">
        <v>514.79999999999995</v>
      </c>
      <c r="E31" s="2975">
        <v>83603</v>
      </c>
      <c r="F31" s="2975">
        <v>4304</v>
      </c>
    </row>
    <row r="32" spans="1:6" ht="14.25" thickBot="1">
      <c r="A32" s="2974">
        <v>31</v>
      </c>
      <c r="B32" s="2975" t="s">
        <v>3239</v>
      </c>
      <c r="C32" s="2975" t="s">
        <v>3244</v>
      </c>
      <c r="D32" s="2976">
        <v>515.91</v>
      </c>
      <c r="E32" s="2975">
        <v>83603</v>
      </c>
      <c r="F32" s="2975">
        <v>4313</v>
      </c>
    </row>
    <row r="33" spans="1:6" ht="14.25" thickBot="1">
      <c r="A33" s="2974">
        <v>32</v>
      </c>
      <c r="B33" s="2975" t="s">
        <v>3239</v>
      </c>
      <c r="C33" s="2975" t="s">
        <v>3245</v>
      </c>
      <c r="D33" s="2976">
        <v>514.79999999999995</v>
      </c>
      <c r="E33" s="2975">
        <v>83603</v>
      </c>
      <c r="F33" s="2975">
        <v>4304</v>
      </c>
    </row>
    <row r="34" spans="1:6" ht="14.25" thickBot="1">
      <c r="A34" s="2974">
        <v>33</v>
      </c>
      <c r="B34" s="2975" t="s">
        <v>3239</v>
      </c>
      <c r="C34" s="2975" t="s">
        <v>3246</v>
      </c>
      <c r="D34" s="2976">
        <v>514.79999999999995</v>
      </c>
      <c r="E34" s="2975">
        <v>87584</v>
      </c>
      <c r="F34" s="2975">
        <v>4509</v>
      </c>
    </row>
    <row r="35" spans="1:6" ht="14.25" thickBot="1">
      <c r="A35" s="2974">
        <v>34</v>
      </c>
      <c r="B35" s="2975" t="s">
        <v>3239</v>
      </c>
      <c r="C35" s="2975" t="s">
        <v>3247</v>
      </c>
      <c r="D35" s="2976">
        <v>514.79999999999995</v>
      </c>
      <c r="E35" s="2975">
        <v>87584</v>
      </c>
      <c r="F35" s="2975">
        <v>4509</v>
      </c>
    </row>
    <row r="36" spans="1:6" ht="14.25" thickBot="1">
      <c r="A36" s="2974">
        <v>35</v>
      </c>
      <c r="B36" s="2975" t="s">
        <v>3239</v>
      </c>
      <c r="C36" s="2975" t="s">
        <v>3248</v>
      </c>
      <c r="D36" s="2976">
        <v>514.79999999999995</v>
      </c>
      <c r="E36" s="2975">
        <v>87584</v>
      </c>
      <c r="F36" s="2975">
        <v>4509</v>
      </c>
    </row>
    <row r="37" spans="1:6" ht="14.25" thickBot="1">
      <c r="A37" s="2974">
        <v>36</v>
      </c>
      <c r="B37" s="2975" t="s">
        <v>3239</v>
      </c>
      <c r="C37" s="2975" t="s">
        <v>3227</v>
      </c>
      <c r="D37" s="2976">
        <v>944.47</v>
      </c>
      <c r="E37" s="2975">
        <v>98269</v>
      </c>
      <c r="F37" s="2975">
        <v>9281</v>
      </c>
    </row>
    <row r="38" spans="1:6" ht="14.25" thickBot="1">
      <c r="A38" s="2974">
        <v>37</v>
      </c>
      <c r="B38" s="2975" t="s">
        <v>3239</v>
      </c>
      <c r="C38" s="2975" t="s">
        <v>3228</v>
      </c>
      <c r="D38" s="2975">
        <v>943.7</v>
      </c>
      <c r="E38" s="2975">
        <v>98269</v>
      </c>
      <c r="F38" s="2975">
        <v>9274</v>
      </c>
    </row>
    <row r="39" spans="1:6" ht="14.25" thickBot="1">
      <c r="A39" s="2974">
        <v>38</v>
      </c>
      <c r="B39" s="2975" t="s">
        <v>3239</v>
      </c>
      <c r="C39" s="2975" t="s">
        <v>3249</v>
      </c>
      <c r="D39" s="2975">
        <v>513.07000000000005</v>
      </c>
      <c r="E39" s="2975">
        <v>79622</v>
      </c>
      <c r="F39" s="2975">
        <v>4085</v>
      </c>
    </row>
    <row r="40" spans="1:6" ht="14.25" thickBot="1">
      <c r="A40" s="2974">
        <v>39</v>
      </c>
      <c r="B40" s="2975" t="s">
        <v>3239</v>
      </c>
      <c r="C40" s="2975" t="s">
        <v>3230</v>
      </c>
      <c r="D40" s="2975">
        <v>514.23</v>
      </c>
      <c r="E40" s="2975">
        <v>79622</v>
      </c>
      <c r="F40" s="2975">
        <v>4094</v>
      </c>
    </row>
    <row r="41" spans="1:6" ht="14.25" thickBot="1">
      <c r="A41" s="2974">
        <v>40</v>
      </c>
      <c r="B41" s="2975" t="s">
        <v>3239</v>
      </c>
      <c r="C41" s="2975" t="s">
        <v>3250</v>
      </c>
      <c r="D41" s="2976">
        <v>514.79999999999995</v>
      </c>
      <c r="E41" s="2975">
        <v>79622</v>
      </c>
      <c r="F41" s="2975">
        <v>4099</v>
      </c>
    </row>
    <row r="42" spans="1:6" ht="14.25" thickBot="1">
      <c r="A42" s="2974">
        <v>41</v>
      </c>
      <c r="B42" s="2975" t="s">
        <v>3239</v>
      </c>
      <c r="C42" s="2975" t="s">
        <v>3251</v>
      </c>
      <c r="D42" s="2976">
        <v>515.91</v>
      </c>
      <c r="E42" s="2975">
        <v>79622</v>
      </c>
      <c r="F42" s="2975">
        <v>4108</v>
      </c>
    </row>
    <row r="43" spans="1:6" ht="14.25" thickBot="1">
      <c r="A43" s="2974">
        <v>42</v>
      </c>
      <c r="B43" s="2975" t="s">
        <v>3239</v>
      </c>
      <c r="C43" s="2975" t="s">
        <v>3252</v>
      </c>
      <c r="D43" s="2976">
        <v>514.79999999999995</v>
      </c>
      <c r="E43" s="2975">
        <v>79622</v>
      </c>
      <c r="F43" s="2975">
        <v>4099</v>
      </c>
    </row>
    <row r="44" spans="1:6" ht="14.25" thickBot="1">
      <c r="A44" s="2974">
        <v>43</v>
      </c>
      <c r="B44" s="2975" t="s">
        <v>3239</v>
      </c>
      <c r="C44" s="2975" t="s">
        <v>3253</v>
      </c>
      <c r="D44" s="2976">
        <v>515.91</v>
      </c>
      <c r="E44" s="2975">
        <v>79622</v>
      </c>
      <c r="F44" s="2975">
        <v>4108</v>
      </c>
    </row>
    <row r="45" spans="1:6" ht="14.25" thickBot="1">
      <c r="A45" s="2974">
        <v>44</v>
      </c>
      <c r="B45" s="2975" t="s">
        <v>3239</v>
      </c>
      <c r="C45" s="2975" t="s">
        <v>3254</v>
      </c>
      <c r="D45" s="2976">
        <v>515.91</v>
      </c>
      <c r="E45" s="2975">
        <v>83603</v>
      </c>
      <c r="F45" s="2975">
        <v>4313</v>
      </c>
    </row>
    <row r="46" spans="1:6" ht="14.25" thickBot="1">
      <c r="A46" s="2974">
        <v>45</v>
      </c>
      <c r="B46" s="2975" t="s">
        <v>3239</v>
      </c>
      <c r="C46" s="2975" t="s">
        <v>3255</v>
      </c>
      <c r="D46" s="2976">
        <v>514.79999999999995</v>
      </c>
      <c r="E46" s="2975">
        <v>83603</v>
      </c>
      <c r="F46" s="2975">
        <v>4304</v>
      </c>
    </row>
    <row r="47" spans="1:6" ht="14.25" thickBot="1">
      <c r="A47" s="2974">
        <v>46</v>
      </c>
      <c r="B47" s="2975" t="s">
        <v>3239</v>
      </c>
      <c r="C47" s="2975" t="s">
        <v>3256</v>
      </c>
      <c r="D47" s="2976">
        <v>515.91</v>
      </c>
      <c r="E47" s="2975">
        <v>87584</v>
      </c>
      <c r="F47" s="2975">
        <v>4519</v>
      </c>
    </row>
    <row r="48" spans="1:6" ht="14.25" thickBot="1">
      <c r="A48" s="2974">
        <v>47</v>
      </c>
      <c r="B48" s="2975" t="s">
        <v>3239</v>
      </c>
      <c r="C48" s="2975" t="s">
        <v>3232</v>
      </c>
      <c r="D48" s="2976">
        <v>515.91</v>
      </c>
      <c r="E48" s="2975">
        <v>87584</v>
      </c>
      <c r="F48" s="2975">
        <v>4519</v>
      </c>
    </row>
    <row r="49" spans="1:6" ht="14.25" thickBot="1">
      <c r="A49" s="2974">
        <v>48</v>
      </c>
      <c r="B49" s="2975" t="s">
        <v>3239</v>
      </c>
      <c r="C49" s="2975" t="s">
        <v>3257</v>
      </c>
      <c r="D49" s="2976">
        <v>514.79999999999995</v>
      </c>
      <c r="E49" s="2975">
        <v>87584</v>
      </c>
      <c r="F49" s="2975">
        <v>4509</v>
      </c>
    </row>
    <row r="50" spans="1:6" ht="14.25" thickBot="1">
      <c r="A50" s="2974">
        <v>49</v>
      </c>
      <c r="B50" s="2975" t="s">
        <v>3239</v>
      </c>
      <c r="C50" s="2975" t="s">
        <v>3258</v>
      </c>
      <c r="D50" s="2976">
        <v>515.91</v>
      </c>
      <c r="E50" s="2975">
        <v>87584</v>
      </c>
      <c r="F50" s="2975">
        <v>4519</v>
      </c>
    </row>
    <row r="51" spans="1:6" ht="14.25" thickBot="1">
      <c r="A51" s="2974">
        <v>50</v>
      </c>
      <c r="B51" s="2975" t="s">
        <v>3239</v>
      </c>
      <c r="C51" s="2975" t="s">
        <v>3233</v>
      </c>
      <c r="D51" s="2976">
        <v>514.79999999999995</v>
      </c>
      <c r="E51" s="2975">
        <v>87584</v>
      </c>
      <c r="F51" s="2975">
        <v>4509</v>
      </c>
    </row>
    <row r="52" spans="1:6" ht="14.25" thickBot="1">
      <c r="A52" s="2974">
        <v>51</v>
      </c>
      <c r="B52" s="2975" t="s">
        <v>3239</v>
      </c>
      <c r="C52" s="2975" t="s">
        <v>3259</v>
      </c>
      <c r="D52" s="2976">
        <v>515.91</v>
      </c>
      <c r="E52" s="2975">
        <v>87584</v>
      </c>
      <c r="F52" s="2975">
        <v>4519</v>
      </c>
    </row>
    <row r="53" spans="1:6" ht="14.25" thickBot="1">
      <c r="A53" s="2974">
        <v>52</v>
      </c>
      <c r="B53" s="2975" t="s">
        <v>3239</v>
      </c>
      <c r="C53" s="2975" t="s">
        <v>3260</v>
      </c>
      <c r="D53" s="2976">
        <v>514.79999999999995</v>
      </c>
      <c r="E53" s="2975">
        <v>87584</v>
      </c>
      <c r="F53" s="2975">
        <v>4509</v>
      </c>
    </row>
    <row r="54" spans="1:6" ht="14.25" thickBot="1">
      <c r="A54" s="2974">
        <v>53</v>
      </c>
      <c r="B54" s="2975" t="s">
        <v>3239</v>
      </c>
      <c r="C54" s="2975" t="s">
        <v>3261</v>
      </c>
      <c r="D54" s="2976">
        <v>515.91</v>
      </c>
      <c r="E54" s="2975">
        <v>87584</v>
      </c>
      <c r="F54" s="2975">
        <v>4519</v>
      </c>
    </row>
    <row r="55" spans="1:6" ht="14.25" thickBot="1">
      <c r="A55" s="2974">
        <v>54</v>
      </c>
      <c r="B55" s="2975" t="s">
        <v>3239</v>
      </c>
      <c r="C55" s="2975" t="s">
        <v>3234</v>
      </c>
      <c r="D55" s="2976">
        <v>514.79999999999995</v>
      </c>
      <c r="E55" s="2975">
        <v>87584</v>
      </c>
      <c r="F55" s="2975">
        <v>4509</v>
      </c>
    </row>
    <row r="56" spans="1:6" ht="14.25" thickBot="1">
      <c r="A56" s="2974">
        <v>55</v>
      </c>
      <c r="B56" s="2975" t="s">
        <v>3239</v>
      </c>
      <c r="C56" s="2975" t="s">
        <v>3262</v>
      </c>
      <c r="D56" s="2976">
        <v>515.91</v>
      </c>
      <c r="E56" s="2975">
        <v>87584</v>
      </c>
      <c r="F56" s="2975">
        <v>4519</v>
      </c>
    </row>
    <row r="57" spans="1:6" ht="14.25" thickBot="1">
      <c r="A57" s="2974">
        <v>56</v>
      </c>
      <c r="B57" s="2975" t="s">
        <v>3239</v>
      </c>
      <c r="C57" s="2975" t="s">
        <v>3263</v>
      </c>
      <c r="D57" s="2976">
        <v>514.79999999999995</v>
      </c>
      <c r="E57" s="2975">
        <v>87584</v>
      </c>
      <c r="F57" s="2975">
        <v>4509</v>
      </c>
    </row>
    <row r="58" spans="1:6" ht="14.25" thickBot="1">
      <c r="A58" s="2974">
        <v>57</v>
      </c>
      <c r="B58" s="2975" t="s">
        <v>3239</v>
      </c>
      <c r="C58" s="2975" t="s">
        <v>3264</v>
      </c>
      <c r="D58" s="2976">
        <v>515.91</v>
      </c>
      <c r="E58" s="2975">
        <v>87584</v>
      </c>
      <c r="F58" s="2975">
        <v>4519</v>
      </c>
    </row>
    <row r="59" spans="1:6" ht="14.25" thickBot="1">
      <c r="A59" s="2974">
        <v>58</v>
      </c>
      <c r="B59" s="2975" t="s">
        <v>3239</v>
      </c>
      <c r="C59" s="2975" t="s">
        <v>3265</v>
      </c>
      <c r="D59" s="2976">
        <v>514.79999999999995</v>
      </c>
      <c r="E59" s="2975">
        <v>87584</v>
      </c>
      <c r="F59" s="2975">
        <v>4509</v>
      </c>
    </row>
    <row r="60" spans="1:6" ht="14.25" thickBot="1">
      <c r="A60" s="2974">
        <v>59</v>
      </c>
      <c r="B60" s="2975" t="s">
        <v>3239</v>
      </c>
      <c r="C60" s="2975" t="s">
        <v>3266</v>
      </c>
      <c r="D60" s="2976">
        <v>515.91</v>
      </c>
      <c r="E60" s="2975">
        <v>87584</v>
      </c>
      <c r="F60" s="2975">
        <v>4519</v>
      </c>
    </row>
    <row r="61" spans="1:6" ht="14.25" thickBot="1">
      <c r="A61" s="2974">
        <v>60</v>
      </c>
      <c r="B61" s="2975" t="s">
        <v>3239</v>
      </c>
      <c r="C61" s="2975" t="s">
        <v>3235</v>
      </c>
      <c r="D61" s="2975">
        <v>943.7</v>
      </c>
      <c r="E61" s="2975">
        <v>98269</v>
      </c>
      <c r="F61" s="2975">
        <v>9274</v>
      </c>
    </row>
    <row r="62" spans="1:6" ht="14.25" thickBot="1">
      <c r="A62" s="2974">
        <v>61</v>
      </c>
      <c r="B62" s="2975" t="s">
        <v>3239</v>
      </c>
      <c r="C62" s="2975" t="s">
        <v>3236</v>
      </c>
      <c r="D62" s="2975">
        <v>944.47</v>
      </c>
      <c r="E62" s="2975">
        <v>98269</v>
      </c>
      <c r="F62" s="2975">
        <v>9281</v>
      </c>
    </row>
    <row r="63" spans="1:6" ht="14.25" thickBot="1">
      <c r="A63" s="2974">
        <v>62</v>
      </c>
      <c r="B63" s="2975" t="s">
        <v>3267</v>
      </c>
      <c r="C63" s="2975" t="s">
        <v>3268</v>
      </c>
      <c r="D63" s="2975">
        <v>453.31</v>
      </c>
      <c r="E63" s="2975">
        <v>79622</v>
      </c>
      <c r="F63" s="2975">
        <v>3609</v>
      </c>
    </row>
    <row r="64" spans="1:6" ht="14.25" thickBot="1">
      <c r="A64" s="2974">
        <v>63</v>
      </c>
      <c r="B64" s="2975" t="s">
        <v>3267</v>
      </c>
      <c r="C64" s="2975" t="s">
        <v>3269</v>
      </c>
      <c r="D64" s="2975">
        <v>447.49</v>
      </c>
      <c r="E64" s="2975">
        <v>79622</v>
      </c>
      <c r="F64" s="2975">
        <v>3563</v>
      </c>
    </row>
    <row r="65" spans="1:6" ht="14.25" thickBot="1">
      <c r="A65" s="2974">
        <v>64</v>
      </c>
      <c r="B65" s="2975" t="s">
        <v>3267</v>
      </c>
      <c r="C65" s="2975" t="s">
        <v>3270</v>
      </c>
      <c r="D65" s="2976">
        <v>447.82</v>
      </c>
      <c r="E65" s="2975">
        <v>79622</v>
      </c>
      <c r="F65" s="2975">
        <v>3566</v>
      </c>
    </row>
    <row r="66" spans="1:6" ht="14.25" thickBot="1">
      <c r="A66" s="2974">
        <v>65</v>
      </c>
      <c r="B66" s="2975" t="s">
        <v>3267</v>
      </c>
      <c r="C66" s="2975" t="s">
        <v>3271</v>
      </c>
      <c r="D66" s="2976">
        <v>447.82</v>
      </c>
      <c r="E66" s="2975">
        <v>79622</v>
      </c>
      <c r="F66" s="2975">
        <v>3566</v>
      </c>
    </row>
    <row r="67" spans="1:6" ht="14.25" thickBot="1">
      <c r="A67" s="2974">
        <v>66</v>
      </c>
      <c r="B67" s="2975" t="s">
        <v>3267</v>
      </c>
      <c r="C67" s="2975" t="s">
        <v>3272</v>
      </c>
      <c r="D67" s="2976">
        <v>453.64</v>
      </c>
      <c r="E67" s="2975">
        <v>79622</v>
      </c>
      <c r="F67" s="2975">
        <v>3612</v>
      </c>
    </row>
    <row r="68" spans="1:6" ht="14.25" thickBot="1">
      <c r="A68" s="2974">
        <v>67</v>
      </c>
      <c r="B68" s="2975" t="s">
        <v>3267</v>
      </c>
      <c r="C68" s="2975" t="s">
        <v>3273</v>
      </c>
      <c r="D68" s="2976">
        <v>447.82</v>
      </c>
      <c r="E68" s="2975">
        <v>79622</v>
      </c>
      <c r="F68" s="2975">
        <v>3566</v>
      </c>
    </row>
    <row r="69" spans="1:6" ht="14.25" thickBot="1">
      <c r="A69" s="2974">
        <v>68</v>
      </c>
      <c r="B69" s="2975" t="s">
        <v>3267</v>
      </c>
      <c r="C69" s="2975" t="s">
        <v>3274</v>
      </c>
      <c r="D69" s="2976">
        <v>453.64</v>
      </c>
      <c r="E69" s="2975">
        <v>83603</v>
      </c>
      <c r="F69" s="2975">
        <v>3793</v>
      </c>
    </row>
    <row r="70" spans="1:6" ht="14.25" thickBot="1">
      <c r="A70" s="2974">
        <v>69</v>
      </c>
      <c r="B70" s="2975" t="s">
        <v>3267</v>
      </c>
      <c r="C70" s="2975" t="s">
        <v>3275</v>
      </c>
      <c r="D70" s="2975">
        <v>453.64</v>
      </c>
      <c r="E70" s="2975">
        <v>83603</v>
      </c>
      <c r="F70" s="2975">
        <v>3793</v>
      </c>
    </row>
    <row r="71" spans="1:6" ht="14.25" thickBot="1">
      <c r="A71" s="2974">
        <v>70</v>
      </c>
      <c r="B71" s="2975" t="s">
        <v>3267</v>
      </c>
      <c r="C71" s="2975" t="s">
        <v>3276</v>
      </c>
      <c r="D71" s="2975">
        <v>453.64</v>
      </c>
      <c r="E71" s="2975">
        <v>83603</v>
      </c>
      <c r="F71" s="2975">
        <v>3793</v>
      </c>
    </row>
    <row r="72" spans="1:6" ht="14.25" thickBot="1">
      <c r="A72" s="2974">
        <v>71</v>
      </c>
      <c r="B72" s="2975" t="s">
        <v>3267</v>
      </c>
      <c r="C72" s="2975" t="s">
        <v>3277</v>
      </c>
      <c r="D72" s="2975">
        <v>447.82</v>
      </c>
      <c r="E72" s="2975">
        <v>83603</v>
      </c>
      <c r="F72" s="2975">
        <v>3744</v>
      </c>
    </row>
    <row r="73" spans="1:6" ht="14.25" thickBot="1">
      <c r="A73" s="2974">
        <v>72</v>
      </c>
      <c r="B73" s="2975" t="s">
        <v>3267</v>
      </c>
      <c r="C73" s="2975" t="s">
        <v>3278</v>
      </c>
      <c r="D73" s="2975">
        <v>453.64</v>
      </c>
      <c r="E73" s="2975">
        <v>83603</v>
      </c>
      <c r="F73" s="2975">
        <v>3793</v>
      </c>
    </row>
    <row r="74" spans="1:6" ht="14.25" thickBot="1">
      <c r="A74" s="2974">
        <v>73</v>
      </c>
      <c r="B74" s="2975" t="s">
        <v>3267</v>
      </c>
      <c r="C74" s="2975" t="s">
        <v>3223</v>
      </c>
      <c r="D74" s="2975">
        <v>447.82</v>
      </c>
      <c r="E74" s="2975">
        <v>83603</v>
      </c>
      <c r="F74" s="2975">
        <v>3744</v>
      </c>
    </row>
    <row r="75" spans="1:6" ht="14.25" thickBot="1">
      <c r="A75" s="2974">
        <v>74</v>
      </c>
      <c r="B75" s="2975" t="s">
        <v>3267</v>
      </c>
      <c r="C75" s="2975" t="s">
        <v>3279</v>
      </c>
      <c r="D75" s="2975">
        <v>447.82</v>
      </c>
      <c r="E75" s="2975">
        <v>83603</v>
      </c>
      <c r="F75" s="2975">
        <v>3744</v>
      </c>
    </row>
    <row r="76" spans="1:6" ht="14.25" thickBot="1">
      <c r="A76" s="2974">
        <v>75</v>
      </c>
      <c r="B76" s="2975" t="s">
        <v>3267</v>
      </c>
      <c r="C76" s="2975" t="s">
        <v>3243</v>
      </c>
      <c r="D76" s="2975">
        <v>447.82</v>
      </c>
      <c r="E76" s="2975">
        <v>83603</v>
      </c>
      <c r="F76" s="2975">
        <v>3744</v>
      </c>
    </row>
    <row r="77" spans="1:6" ht="14.25" thickBot="1">
      <c r="A77" s="2974">
        <v>76</v>
      </c>
      <c r="B77" s="2975" t="s">
        <v>3267</v>
      </c>
      <c r="C77" s="2975" t="s">
        <v>3245</v>
      </c>
      <c r="D77" s="2975">
        <v>447.82</v>
      </c>
      <c r="E77" s="2975">
        <v>83603</v>
      </c>
      <c r="F77" s="2975">
        <v>357</v>
      </c>
    </row>
    <row r="78" spans="1:6" ht="14.25" thickBot="1">
      <c r="A78" s="2974">
        <v>77</v>
      </c>
      <c r="B78" s="2975" t="s">
        <v>3267</v>
      </c>
      <c r="C78" s="2975" t="s">
        <v>3280</v>
      </c>
      <c r="D78" s="2975">
        <v>453.64</v>
      </c>
      <c r="E78" s="2975">
        <v>87584</v>
      </c>
      <c r="F78" s="2975">
        <v>3973</v>
      </c>
    </row>
    <row r="79" spans="1:6" ht="14.25" thickBot="1">
      <c r="A79" s="2974">
        <v>78</v>
      </c>
      <c r="B79" s="2975" t="s">
        <v>3267</v>
      </c>
      <c r="C79" s="2975" t="s">
        <v>3247</v>
      </c>
      <c r="D79" s="2975">
        <v>447.82</v>
      </c>
      <c r="E79" s="2975">
        <v>87584</v>
      </c>
      <c r="F79" s="2975">
        <v>3922</v>
      </c>
    </row>
    <row r="80" spans="1:6" ht="14.25" thickBot="1">
      <c r="A80" s="2974">
        <v>79</v>
      </c>
      <c r="B80" s="2975" t="s">
        <v>3267</v>
      </c>
      <c r="C80" s="2975" t="s">
        <v>3281</v>
      </c>
      <c r="D80" s="2975">
        <v>453.64</v>
      </c>
      <c r="E80" s="2975">
        <v>87584</v>
      </c>
      <c r="F80" s="2975">
        <v>3973</v>
      </c>
    </row>
    <row r="81" spans="1:6" ht="14.25" thickBot="1">
      <c r="A81" s="2974">
        <v>80</v>
      </c>
      <c r="B81" s="2975" t="s">
        <v>3267</v>
      </c>
      <c r="C81" s="2975" t="s">
        <v>3282</v>
      </c>
      <c r="D81" s="2975">
        <v>447.82</v>
      </c>
      <c r="E81" s="2975">
        <v>87584</v>
      </c>
      <c r="F81" s="2975">
        <v>3922</v>
      </c>
    </row>
    <row r="82" spans="1:6" ht="14.25" thickBot="1">
      <c r="A82" s="2974">
        <v>81</v>
      </c>
      <c r="B82" s="2975" t="s">
        <v>3267</v>
      </c>
      <c r="C82" s="2975" t="s">
        <v>3283</v>
      </c>
      <c r="D82" s="2975">
        <v>453.43</v>
      </c>
      <c r="E82" s="2975">
        <v>87584</v>
      </c>
      <c r="F82" s="2975">
        <v>3971</v>
      </c>
    </row>
    <row r="83" spans="1:6" ht="14.25" thickBot="1">
      <c r="A83" s="2974">
        <v>82</v>
      </c>
      <c r="B83" s="2975" t="s">
        <v>3267</v>
      </c>
      <c r="C83" s="2975" t="s">
        <v>3284</v>
      </c>
      <c r="D83" s="2975">
        <v>447.63</v>
      </c>
      <c r="E83" s="2975">
        <v>87584</v>
      </c>
      <c r="F83" s="2975">
        <v>3921</v>
      </c>
    </row>
    <row r="84" spans="1:6" ht="14.25" thickBot="1">
      <c r="A84" s="2974">
        <v>83</v>
      </c>
      <c r="B84" s="2975" t="s">
        <v>3267</v>
      </c>
      <c r="C84" s="2975" t="s">
        <v>3285</v>
      </c>
      <c r="D84" s="2975">
        <v>453.43</v>
      </c>
      <c r="E84" s="2975">
        <v>87584</v>
      </c>
      <c r="F84" s="2975">
        <v>3971</v>
      </c>
    </row>
    <row r="85" spans="1:6" ht="14.25" thickBot="1">
      <c r="A85" s="2974">
        <v>84</v>
      </c>
      <c r="B85" s="2975" t="s">
        <v>3267</v>
      </c>
      <c r="C85" s="2975" t="s">
        <v>3248</v>
      </c>
      <c r="D85" s="2975">
        <v>447.63</v>
      </c>
      <c r="E85" s="2975">
        <v>87584</v>
      </c>
      <c r="F85" s="2975">
        <v>3921</v>
      </c>
    </row>
    <row r="86" spans="1:6" ht="14.25" thickBot="1">
      <c r="A86" s="2974">
        <v>85</v>
      </c>
      <c r="B86" s="2975" t="s">
        <v>3267</v>
      </c>
      <c r="C86" s="2975" t="s">
        <v>3286</v>
      </c>
      <c r="D86" s="2975">
        <v>453.43</v>
      </c>
      <c r="E86" s="2975">
        <v>87584</v>
      </c>
      <c r="F86" s="2975">
        <v>3971</v>
      </c>
    </row>
    <row r="87" spans="1:6" ht="14.25" thickBot="1">
      <c r="A87" s="2974">
        <v>86</v>
      </c>
      <c r="B87" s="2975" t="s">
        <v>3267</v>
      </c>
      <c r="C87" s="2975" t="s">
        <v>3287</v>
      </c>
      <c r="D87" s="2975">
        <v>447.63</v>
      </c>
      <c r="E87" s="2975">
        <v>87584</v>
      </c>
      <c r="F87" s="2975">
        <v>3921</v>
      </c>
    </row>
    <row r="88" spans="1:6" ht="14.25" thickBot="1">
      <c r="A88" s="2974">
        <v>87</v>
      </c>
      <c r="B88" s="2975" t="s">
        <v>3267</v>
      </c>
      <c r="C88" s="2975" t="s">
        <v>3227</v>
      </c>
      <c r="D88" s="2975">
        <v>923.06</v>
      </c>
      <c r="E88" s="2975">
        <v>98269</v>
      </c>
      <c r="F88" s="2975">
        <v>9071</v>
      </c>
    </row>
    <row r="89" spans="1:6" ht="14.25" thickBot="1">
      <c r="A89" s="2974">
        <v>88</v>
      </c>
      <c r="B89" s="2975" t="s">
        <v>3267</v>
      </c>
      <c r="C89" s="2975" t="s">
        <v>3228</v>
      </c>
      <c r="D89" s="2975">
        <v>917.11</v>
      </c>
      <c r="E89" s="2975">
        <v>98269</v>
      </c>
      <c r="F89" s="2975">
        <v>9012</v>
      </c>
    </row>
    <row r="90" spans="1:6" ht="14.25" thickBot="1">
      <c r="A90" s="2974">
        <v>89</v>
      </c>
      <c r="B90" s="2975" t="s">
        <v>3267</v>
      </c>
      <c r="C90" s="2975" t="s">
        <v>3249</v>
      </c>
      <c r="D90" s="2975">
        <v>447.49</v>
      </c>
      <c r="E90" s="2975">
        <v>79622</v>
      </c>
      <c r="F90" s="2975">
        <v>3563</v>
      </c>
    </row>
    <row r="91" spans="1:6" ht="14.25" thickBot="1">
      <c r="A91" s="2974">
        <v>90</v>
      </c>
      <c r="B91" s="2975" t="s">
        <v>3267</v>
      </c>
      <c r="C91" s="2975" t="s">
        <v>3288</v>
      </c>
      <c r="D91" s="2975">
        <v>447.82</v>
      </c>
      <c r="E91" s="2975">
        <v>83603</v>
      </c>
      <c r="F91" s="2975">
        <v>3744</v>
      </c>
    </row>
    <row r="92" spans="1:6" ht="14.25" thickBot="1">
      <c r="A92" s="2974">
        <v>91</v>
      </c>
      <c r="B92" s="2975" t="s">
        <v>3267</v>
      </c>
      <c r="C92" s="2975" t="s">
        <v>3289</v>
      </c>
      <c r="D92" s="2975">
        <v>453.64</v>
      </c>
      <c r="E92" s="2975">
        <v>83603</v>
      </c>
      <c r="F92" s="2975">
        <v>3793</v>
      </c>
    </row>
    <row r="93" spans="1:6" ht="14.25" thickBot="1">
      <c r="A93" s="2974">
        <v>92</v>
      </c>
      <c r="B93" s="2975" t="s">
        <v>3267</v>
      </c>
      <c r="C93" s="2975" t="s">
        <v>3231</v>
      </c>
      <c r="D93" s="2975">
        <v>447.82</v>
      </c>
      <c r="E93" s="2975">
        <v>83603</v>
      </c>
      <c r="F93" s="2975">
        <v>3744</v>
      </c>
    </row>
    <row r="94" spans="1:6" ht="14.25" thickBot="1">
      <c r="A94" s="2974">
        <v>93</v>
      </c>
      <c r="B94" s="2975" t="s">
        <v>3267</v>
      </c>
      <c r="C94" s="2975" t="s">
        <v>3290</v>
      </c>
      <c r="D94" s="2975">
        <v>447.82</v>
      </c>
      <c r="E94" s="2975">
        <v>83603</v>
      </c>
      <c r="F94" s="2975">
        <v>3744</v>
      </c>
    </row>
    <row r="95" spans="1:6" ht="14.25" thickBot="1">
      <c r="A95" s="2974">
        <v>94</v>
      </c>
      <c r="B95" s="2975" t="s">
        <v>3267</v>
      </c>
      <c r="C95" s="2975" t="s">
        <v>3291</v>
      </c>
      <c r="D95" s="2975">
        <v>447.82</v>
      </c>
      <c r="E95" s="2975">
        <v>87584</v>
      </c>
      <c r="F95" s="2975">
        <v>3922</v>
      </c>
    </row>
    <row r="96" spans="1:6" ht="14.25" thickBot="1">
      <c r="A96" s="2974">
        <v>95</v>
      </c>
      <c r="B96" s="2975" t="s">
        <v>3267</v>
      </c>
      <c r="C96" s="2975" t="s">
        <v>3257</v>
      </c>
      <c r="D96" s="2975">
        <v>447.82</v>
      </c>
      <c r="E96" s="2975">
        <v>87584</v>
      </c>
      <c r="F96" s="2975">
        <v>3922</v>
      </c>
    </row>
    <row r="97" spans="1:6" ht="14.25" thickBot="1">
      <c r="A97" s="2974">
        <v>96</v>
      </c>
      <c r="B97" s="2975" t="s">
        <v>3267</v>
      </c>
      <c r="C97" s="2975" t="s">
        <v>3260</v>
      </c>
      <c r="D97" s="2975">
        <v>447.63</v>
      </c>
      <c r="E97" s="2975">
        <v>87584</v>
      </c>
      <c r="F97" s="2975">
        <v>3921</v>
      </c>
    </row>
    <row r="98" spans="1:6" ht="14.25" thickBot="1">
      <c r="A98" s="2974">
        <v>97</v>
      </c>
      <c r="B98" s="2975" t="s">
        <v>3267</v>
      </c>
      <c r="C98" s="2975" t="s">
        <v>3263</v>
      </c>
      <c r="D98" s="2975">
        <v>447.63</v>
      </c>
      <c r="E98" s="2975">
        <v>87584</v>
      </c>
      <c r="F98" s="2975">
        <v>3921</v>
      </c>
    </row>
    <row r="99" spans="1:6" ht="14.25" thickBot="1">
      <c r="A99" s="2974">
        <v>98</v>
      </c>
      <c r="B99" s="2975" t="s">
        <v>3267</v>
      </c>
      <c r="C99" s="2975" t="s">
        <v>3264</v>
      </c>
      <c r="D99" s="2975">
        <v>453.43</v>
      </c>
      <c r="E99" s="2975">
        <v>87584</v>
      </c>
      <c r="F99" s="2975">
        <v>3971</v>
      </c>
    </row>
    <row r="100" spans="1:6" ht="14.25" thickBot="1">
      <c r="A100" s="2974">
        <v>99</v>
      </c>
      <c r="B100" s="2975" t="s">
        <v>3267</v>
      </c>
      <c r="C100" s="2975" t="s">
        <v>3265</v>
      </c>
      <c r="D100" s="2975">
        <v>447.63</v>
      </c>
      <c r="E100" s="2975">
        <v>87584</v>
      </c>
      <c r="F100" s="2975">
        <v>3921</v>
      </c>
    </row>
    <row r="101" spans="1:6" ht="14.25" thickBot="1">
      <c r="A101" s="2974">
        <v>100</v>
      </c>
      <c r="B101" s="2975" t="s">
        <v>3267</v>
      </c>
      <c r="C101" s="2975" t="s">
        <v>3266</v>
      </c>
      <c r="D101" s="2975">
        <v>453.43</v>
      </c>
      <c r="E101" s="2975">
        <v>87584</v>
      </c>
      <c r="F101" s="2975">
        <v>3971</v>
      </c>
    </row>
    <row r="102" spans="1:6" ht="14.25" thickBot="1">
      <c r="A102" s="2974">
        <v>101</v>
      </c>
      <c r="B102" s="2975" t="s">
        <v>3267</v>
      </c>
      <c r="C102" s="2975" t="s">
        <v>3235</v>
      </c>
      <c r="D102" s="2975">
        <v>917.11</v>
      </c>
      <c r="E102" s="2975">
        <v>98269</v>
      </c>
      <c r="F102" s="2975">
        <v>9012</v>
      </c>
    </row>
    <row r="103" spans="1:6" ht="14.25" thickBot="1">
      <c r="A103" s="2974">
        <v>102</v>
      </c>
      <c r="B103" s="2975" t="s">
        <v>3267</v>
      </c>
      <c r="C103" s="2975" t="s">
        <v>3236</v>
      </c>
      <c r="D103" s="2975">
        <v>923.06</v>
      </c>
      <c r="E103" s="2975">
        <v>98269</v>
      </c>
      <c r="F103" s="2975">
        <v>9071</v>
      </c>
    </row>
    <row r="104" spans="1:6" ht="14.25" thickBot="1">
      <c r="A104" s="3306" t="s">
        <v>37</v>
      </c>
      <c r="B104" s="3307"/>
      <c r="C104" s="3308"/>
      <c r="D104" s="2977"/>
      <c r="E104" s="2978"/>
      <c r="F104" s="2978"/>
    </row>
  </sheetData>
  <mergeCells count="1">
    <mergeCell ref="A104:C10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7"/>
  <sheetViews>
    <sheetView topLeftCell="A67" workbookViewId="0">
      <selection activeCell="U2" sqref="U2:U105"/>
    </sheetView>
  </sheetViews>
  <sheetFormatPr defaultRowHeight="13.5"/>
  <cols>
    <col min="1" max="1" width="16.75" customWidth="1"/>
    <col min="3" max="17" width="0" hidden="1" customWidth="1"/>
  </cols>
  <sheetData>
    <row r="1" spans="1:21">
      <c r="A1" s="11" t="s">
        <v>3025</v>
      </c>
      <c r="B1" s="11" t="s">
        <v>3026</v>
      </c>
      <c r="C1" s="11" t="s">
        <v>3027</v>
      </c>
      <c r="D1" s="11" t="e">
        <f>#REF!</f>
        <v>#REF!</v>
      </c>
      <c r="E1" s="11" t="s">
        <v>3027</v>
      </c>
      <c r="F1" s="11" t="e">
        <f>#REF!</f>
        <v>#REF!</v>
      </c>
      <c r="G1" s="11" t="s">
        <v>3027</v>
      </c>
      <c r="H1" s="11" t="e">
        <f>#REF!</f>
        <v>#REF!</v>
      </c>
      <c r="I1" s="11" t="s">
        <v>3027</v>
      </c>
      <c r="J1" s="11" t="e">
        <f>#REF!</f>
        <v>#REF!</v>
      </c>
      <c r="K1" s="11" t="s">
        <v>3027</v>
      </c>
      <c r="L1" s="11" t="e">
        <f>#REF!</f>
        <v>#REF!</v>
      </c>
      <c r="M1" s="11" t="s">
        <v>3027</v>
      </c>
      <c r="N1" s="11" t="e">
        <f>#REF!</f>
        <v>#REF!</v>
      </c>
      <c r="O1" s="11" t="s">
        <v>3027</v>
      </c>
      <c r="P1" s="11" t="e">
        <f>#REF!</f>
        <v>#REF!</v>
      </c>
      <c r="Q1" s="11" t="s">
        <v>3027</v>
      </c>
      <c r="R1" s="718" t="s">
        <v>3028</v>
      </c>
      <c r="S1" s="11" t="s">
        <v>3029</v>
      </c>
      <c r="T1" s="2963" t="s">
        <v>3181</v>
      </c>
    </row>
    <row r="2" spans="1:21">
      <c r="A2" s="719" t="s">
        <v>3030</v>
      </c>
      <c r="B2" s="719">
        <v>445.61</v>
      </c>
      <c r="C2" s="720">
        <v>1</v>
      </c>
      <c r="D2" s="721" t="s">
        <v>3158</v>
      </c>
      <c r="E2" s="720">
        <v>1</v>
      </c>
      <c r="F2" s="721" t="s">
        <v>3133</v>
      </c>
      <c r="G2" s="720">
        <v>1</v>
      </c>
      <c r="H2" s="721" t="s">
        <v>3167</v>
      </c>
      <c r="I2" s="720">
        <v>1</v>
      </c>
      <c r="J2" s="721"/>
      <c r="K2" s="720">
        <v>1</v>
      </c>
      <c r="L2" s="721"/>
      <c r="M2" s="720">
        <v>1</v>
      </c>
      <c r="N2" s="721"/>
      <c r="O2" s="720">
        <v>1</v>
      </c>
      <c r="P2" s="721"/>
      <c r="Q2" s="720">
        <v>1</v>
      </c>
      <c r="R2" s="722">
        <v>79622</v>
      </c>
      <c r="S2" s="720">
        <v>3548</v>
      </c>
      <c r="T2" s="2964" t="s">
        <v>3182</v>
      </c>
      <c r="U2">
        <v>1</v>
      </c>
    </row>
    <row r="3" spans="1:21">
      <c r="A3" s="2932" t="s">
        <v>3065</v>
      </c>
      <c r="B3" s="2932">
        <v>445.47</v>
      </c>
      <c r="C3" s="24">
        <f t="shared" ref="C3:C34" ca="1" si="0">IF(B3="",1,(LOOKUP(B3,$3:$3,$4:$4)-LOOKUP($B$23,$3:$3,$4:$4)+100)/100)</f>
        <v>1</v>
      </c>
      <c r="D3" s="721" t="s">
        <v>3158</v>
      </c>
      <c r="E3" s="24" t="e">
        <f>(SUMIF($5:$5,D3,#REF!)-SUMIF($5:$5,$D$23,#REF!)+100)/100</f>
        <v>#REF!</v>
      </c>
      <c r="F3" s="721" t="s">
        <v>3133</v>
      </c>
      <c r="G3" s="24">
        <f t="shared" ref="G3:G34" ca="1" si="1">(SUMIF($6:$6,F3,$7:$7)-SUMIF($6:$6,$F$23,$7:$7)+100)/100</f>
        <v>1</v>
      </c>
      <c r="H3" s="721" t="s">
        <v>3167</v>
      </c>
      <c r="I3" s="24">
        <f t="shared" ref="I3:I34" ca="1" si="2">(SUMIF($8:$8,H3,$9:$9)-SUMIF($8:$8,$H$23,$9:$9)+100)/100</f>
        <v>1</v>
      </c>
      <c r="J3" s="721"/>
      <c r="K3" s="24">
        <f t="shared" ref="K3:K34" ca="1" si="3">(SUMIF($10:$10,J3,$11:$11)-SUMIF($10:$10,$J$23,$11:$11)+100)/100</f>
        <v>1</v>
      </c>
      <c r="L3" s="721"/>
      <c r="M3" s="24">
        <f t="shared" ref="M3:M34" ca="1" si="4">(SUMIF($12:$12,L3,$13:$13)-SUMIF($12:$12,$L$23,$13:$13)+100)/100</f>
        <v>1</v>
      </c>
      <c r="N3" s="721"/>
      <c r="O3" s="24">
        <f t="shared" ref="O3:O34" ca="1" si="5">(SUMIF($14:$14,N3,$15:$15)-SUMIF($14:$14,$N$23,$15:$15)+100)/100</f>
        <v>1</v>
      </c>
      <c r="P3" s="721"/>
      <c r="Q3" s="24">
        <f t="shared" ref="Q3:Q34" ca="1" si="6">(SUMIF($16:$16,P3,$17:$17)-SUMIF($16:$16,$P$23,$17:$17)+100)/100</f>
        <v>1</v>
      </c>
      <c r="R3" s="717">
        <f t="shared" ref="R3:R34" ca="1" si="7">IF(B3="",0,ROUND($R$23*C3*E3*G3*I3*K3*M3*O3*Q3,0))</f>
        <v>79622</v>
      </c>
      <c r="S3" s="362">
        <f t="shared" ref="S3:S64" ca="1" si="8">ROUND(R3*B3/10000,0)</f>
        <v>3547</v>
      </c>
      <c r="T3" s="2964" t="s">
        <v>3182</v>
      </c>
      <c r="U3">
        <v>2</v>
      </c>
    </row>
    <row r="4" spans="1:21">
      <c r="A4" s="2932" t="s">
        <v>3066</v>
      </c>
      <c r="B4" s="2932">
        <v>913.64</v>
      </c>
      <c r="C4" s="24">
        <f t="shared" ca="1" si="0"/>
        <v>1.02</v>
      </c>
      <c r="D4" s="721" t="s">
        <v>3170</v>
      </c>
      <c r="E4" s="24" t="e">
        <f>(SUMIF($5:$5,D4,#REF!)-SUMIF($5:$5,$D$23,#REF!)+100)/100</f>
        <v>#REF!</v>
      </c>
      <c r="F4" s="721" t="s">
        <v>3175</v>
      </c>
      <c r="G4" s="24">
        <f t="shared" ca="1" si="1"/>
        <v>1.1000000000000001</v>
      </c>
      <c r="H4" s="721" t="s">
        <v>3167</v>
      </c>
      <c r="I4" s="24">
        <f t="shared" ca="1" si="2"/>
        <v>1</v>
      </c>
      <c r="J4" s="721"/>
      <c r="K4" s="24">
        <f t="shared" ca="1" si="3"/>
        <v>1</v>
      </c>
      <c r="L4" s="721"/>
      <c r="M4" s="24">
        <f t="shared" ca="1" si="4"/>
        <v>1</v>
      </c>
      <c r="N4" s="721"/>
      <c r="O4" s="24">
        <f t="shared" ca="1" si="5"/>
        <v>1</v>
      </c>
      <c r="P4" s="721"/>
      <c r="Q4" s="24">
        <f t="shared" ca="1" si="6"/>
        <v>1</v>
      </c>
      <c r="R4" s="717">
        <f t="shared" ca="1" si="7"/>
        <v>98269</v>
      </c>
      <c r="S4" s="362">
        <f t="shared" ca="1" si="8"/>
        <v>8978</v>
      </c>
      <c r="T4" s="2964" t="s">
        <v>3182</v>
      </c>
      <c r="U4">
        <v>3</v>
      </c>
    </row>
    <row r="5" spans="1:21">
      <c r="A5" s="2932" t="s">
        <v>3067</v>
      </c>
      <c r="B5" s="2932">
        <v>912.44</v>
      </c>
      <c r="C5" s="24">
        <f t="shared" ca="1" si="0"/>
        <v>1.02</v>
      </c>
      <c r="D5" s="721" t="s">
        <v>3170</v>
      </c>
      <c r="E5" s="24" t="e">
        <f>(SUMIF($5:$5,D5,#REF!)-SUMIF($5:$5,$D$23,#REF!)+100)/100</f>
        <v>#REF!</v>
      </c>
      <c r="F5" s="721" t="s">
        <v>3175</v>
      </c>
      <c r="G5" s="24">
        <f t="shared" ca="1" si="1"/>
        <v>1.1000000000000001</v>
      </c>
      <c r="H5" s="721" t="s">
        <v>3167</v>
      </c>
      <c r="I5" s="24">
        <f t="shared" ca="1" si="2"/>
        <v>1</v>
      </c>
      <c r="J5" s="721"/>
      <c r="K5" s="24">
        <f t="shared" ca="1" si="3"/>
        <v>1</v>
      </c>
      <c r="L5" s="721"/>
      <c r="M5" s="24">
        <f t="shared" ca="1" si="4"/>
        <v>1</v>
      </c>
      <c r="N5" s="721"/>
      <c r="O5" s="24">
        <f t="shared" ca="1" si="5"/>
        <v>1</v>
      </c>
      <c r="P5" s="721"/>
      <c r="Q5" s="24">
        <f t="shared" ca="1" si="6"/>
        <v>1</v>
      </c>
      <c r="R5" s="717">
        <f t="shared" ca="1" si="7"/>
        <v>98269</v>
      </c>
      <c r="S5" s="362">
        <f t="shared" ca="1" si="8"/>
        <v>8966</v>
      </c>
      <c r="T5" s="2964" t="s">
        <v>3182</v>
      </c>
      <c r="U5">
        <v>4</v>
      </c>
    </row>
    <row r="6" spans="1:21">
      <c r="A6" s="2932" t="s">
        <v>3069</v>
      </c>
      <c r="B6" s="2932">
        <v>445.47</v>
      </c>
      <c r="C6" s="24">
        <f t="shared" ca="1" si="0"/>
        <v>1</v>
      </c>
      <c r="D6" s="721" t="s">
        <v>3158</v>
      </c>
      <c r="E6" s="24" t="e">
        <f>(SUMIF($5:$5,D6,#REF!)-SUMIF($5:$5,$D$23,#REF!)+100)/100</f>
        <v>#REF!</v>
      </c>
      <c r="F6" s="721" t="s">
        <v>3133</v>
      </c>
      <c r="G6" s="24">
        <f t="shared" ca="1" si="1"/>
        <v>1</v>
      </c>
      <c r="H6" s="721" t="s">
        <v>3167</v>
      </c>
      <c r="I6" s="24">
        <f t="shared" ca="1" si="2"/>
        <v>1</v>
      </c>
      <c r="J6" s="721"/>
      <c r="K6" s="24">
        <f t="shared" ca="1" si="3"/>
        <v>1</v>
      </c>
      <c r="L6" s="721"/>
      <c r="M6" s="24">
        <f t="shared" ca="1" si="4"/>
        <v>1</v>
      </c>
      <c r="N6" s="721"/>
      <c r="O6" s="24">
        <f t="shared" ca="1" si="5"/>
        <v>1</v>
      </c>
      <c r="P6" s="721"/>
      <c r="Q6" s="24">
        <f t="shared" ca="1" si="6"/>
        <v>1</v>
      </c>
      <c r="R6" s="717">
        <f t="shared" ca="1" si="7"/>
        <v>79622</v>
      </c>
      <c r="S6" s="362">
        <f t="shared" ca="1" si="8"/>
        <v>3547</v>
      </c>
      <c r="T6" s="2964" t="s">
        <v>3182</v>
      </c>
      <c r="U6">
        <v>5</v>
      </c>
    </row>
    <row r="7" spans="1:21">
      <c r="A7" s="2932" t="s">
        <v>3070</v>
      </c>
      <c r="B7" s="2932">
        <v>912.44</v>
      </c>
      <c r="C7" s="24">
        <f t="shared" ca="1" si="0"/>
        <v>1.02</v>
      </c>
      <c r="D7" s="721" t="s">
        <v>3170</v>
      </c>
      <c r="E7" s="24" t="e">
        <f>(SUMIF($5:$5,D7,#REF!)-SUMIF($5:$5,$D$23,#REF!)+100)/100</f>
        <v>#REF!</v>
      </c>
      <c r="F7" s="721" t="s">
        <v>3175</v>
      </c>
      <c r="G7" s="24">
        <f t="shared" ca="1" si="1"/>
        <v>1.1000000000000001</v>
      </c>
      <c r="H7" s="721" t="s">
        <v>3167</v>
      </c>
      <c r="I7" s="24">
        <f t="shared" ca="1" si="2"/>
        <v>1</v>
      </c>
      <c r="J7" s="721"/>
      <c r="K7" s="24">
        <f t="shared" ca="1" si="3"/>
        <v>1</v>
      </c>
      <c r="L7" s="721"/>
      <c r="M7" s="24">
        <f t="shared" ca="1" si="4"/>
        <v>1</v>
      </c>
      <c r="N7" s="721"/>
      <c r="O7" s="24">
        <f t="shared" ca="1" si="5"/>
        <v>1</v>
      </c>
      <c r="P7" s="721"/>
      <c r="Q7" s="24">
        <f t="shared" ca="1" si="6"/>
        <v>1</v>
      </c>
      <c r="R7" s="717">
        <f t="shared" ca="1" si="7"/>
        <v>98269</v>
      </c>
      <c r="S7" s="362">
        <f t="shared" ca="1" si="8"/>
        <v>8966</v>
      </c>
      <c r="T7" s="2964" t="s">
        <v>3182</v>
      </c>
      <c r="U7">
        <v>6</v>
      </c>
    </row>
    <row r="8" spans="1:21">
      <c r="A8" s="2932" t="s">
        <v>3071</v>
      </c>
      <c r="B8" s="2932">
        <v>913.64</v>
      </c>
      <c r="C8" s="24">
        <f t="shared" ca="1" si="0"/>
        <v>1.02</v>
      </c>
      <c r="D8" s="721" t="s">
        <v>3170</v>
      </c>
      <c r="E8" s="24" t="e">
        <f>(SUMIF($5:$5,D8,#REF!)-SUMIF($5:$5,$D$23,#REF!)+100)/100</f>
        <v>#REF!</v>
      </c>
      <c r="F8" s="721" t="s">
        <v>3175</v>
      </c>
      <c r="G8" s="24">
        <f t="shared" ca="1" si="1"/>
        <v>1.1000000000000001</v>
      </c>
      <c r="H8" s="721" t="s">
        <v>3167</v>
      </c>
      <c r="I8" s="24">
        <f t="shared" ca="1" si="2"/>
        <v>1</v>
      </c>
      <c r="J8" s="721"/>
      <c r="K8" s="24">
        <f t="shared" ca="1" si="3"/>
        <v>1</v>
      </c>
      <c r="L8" s="721"/>
      <c r="M8" s="24">
        <f t="shared" ca="1" si="4"/>
        <v>1</v>
      </c>
      <c r="N8" s="721"/>
      <c r="O8" s="24">
        <f t="shared" ca="1" si="5"/>
        <v>1</v>
      </c>
      <c r="P8" s="721"/>
      <c r="Q8" s="24">
        <f t="shared" ca="1" si="6"/>
        <v>1</v>
      </c>
      <c r="R8" s="717">
        <f t="shared" ca="1" si="7"/>
        <v>98269</v>
      </c>
      <c r="S8" s="362">
        <f t="shared" ca="1" si="8"/>
        <v>8978</v>
      </c>
      <c r="T8" s="2964" t="s">
        <v>3182</v>
      </c>
      <c r="U8">
        <v>7</v>
      </c>
    </row>
    <row r="9" spans="1:21">
      <c r="A9" s="2933" t="s">
        <v>3072</v>
      </c>
      <c r="B9" s="2933">
        <v>439.34</v>
      </c>
      <c r="C9" s="24">
        <f t="shared" ca="1" si="0"/>
        <v>1</v>
      </c>
      <c r="D9" s="721" t="s">
        <v>3158</v>
      </c>
      <c r="E9" s="24" t="e">
        <f>(SUMIF($5:$5,D9,#REF!)-SUMIF($5:$5,$D$23,#REF!)+100)/100</f>
        <v>#REF!</v>
      </c>
      <c r="F9" s="721" t="s">
        <v>3133</v>
      </c>
      <c r="G9" s="24">
        <f t="shared" ca="1" si="1"/>
        <v>1</v>
      </c>
      <c r="H9" s="721" t="s">
        <v>3167</v>
      </c>
      <c r="I9" s="24">
        <f t="shared" ca="1" si="2"/>
        <v>1</v>
      </c>
      <c r="J9" s="721"/>
      <c r="K9" s="24">
        <f t="shared" ca="1" si="3"/>
        <v>1</v>
      </c>
      <c r="L9" s="721"/>
      <c r="M9" s="24">
        <f t="shared" ca="1" si="4"/>
        <v>1</v>
      </c>
      <c r="N9" s="721"/>
      <c r="O9" s="24">
        <f t="shared" ca="1" si="5"/>
        <v>1</v>
      </c>
      <c r="P9" s="721"/>
      <c r="Q9" s="24">
        <f t="shared" ca="1" si="6"/>
        <v>1</v>
      </c>
      <c r="R9" s="717">
        <f t="shared" ca="1" si="7"/>
        <v>79622</v>
      </c>
      <c r="S9" s="362">
        <f t="shared" ca="1" si="8"/>
        <v>3498</v>
      </c>
      <c r="T9" s="2964" t="s">
        <v>3183</v>
      </c>
      <c r="U9">
        <v>8</v>
      </c>
    </row>
    <row r="10" spans="1:21">
      <c r="A10" s="2933" t="s">
        <v>3065</v>
      </c>
      <c r="B10" s="2933">
        <v>439.34</v>
      </c>
      <c r="C10" s="24">
        <f t="shared" ca="1" si="0"/>
        <v>1</v>
      </c>
      <c r="D10" s="721" t="s">
        <v>3158</v>
      </c>
      <c r="E10" s="24" t="e">
        <f>(SUMIF($5:$5,D10,#REF!)-SUMIF($5:$5,$D$23,#REF!)+100)/100</f>
        <v>#REF!</v>
      </c>
      <c r="F10" s="721" t="s">
        <v>3133</v>
      </c>
      <c r="G10" s="24">
        <f t="shared" ca="1" si="1"/>
        <v>1</v>
      </c>
      <c r="H10" s="721" t="s">
        <v>3167</v>
      </c>
      <c r="I10" s="24">
        <f t="shared" ca="1" si="2"/>
        <v>1</v>
      </c>
      <c r="J10" s="721"/>
      <c r="K10" s="24">
        <f t="shared" ca="1" si="3"/>
        <v>1</v>
      </c>
      <c r="L10" s="721"/>
      <c r="M10" s="24">
        <f t="shared" ca="1" si="4"/>
        <v>1</v>
      </c>
      <c r="N10" s="721"/>
      <c r="O10" s="24">
        <f t="shared" ca="1" si="5"/>
        <v>1</v>
      </c>
      <c r="P10" s="721"/>
      <c r="Q10" s="24">
        <f t="shared" ca="1" si="6"/>
        <v>1</v>
      </c>
      <c r="R10" s="717">
        <f t="shared" ca="1" si="7"/>
        <v>79622</v>
      </c>
      <c r="S10" s="362">
        <f t="shared" ca="1" si="8"/>
        <v>3498</v>
      </c>
      <c r="T10" s="2964" t="s">
        <v>3183</v>
      </c>
      <c r="U10">
        <v>9</v>
      </c>
    </row>
    <row r="11" spans="1:21">
      <c r="A11" s="2933" t="s">
        <v>3066</v>
      </c>
      <c r="B11" s="2933">
        <v>906.27</v>
      </c>
      <c r="C11" s="24">
        <f t="shared" ca="1" si="0"/>
        <v>1.02</v>
      </c>
      <c r="D11" s="721" t="s">
        <v>3170</v>
      </c>
      <c r="E11" s="24" t="e">
        <f>(SUMIF($5:$5,D11,#REF!)-SUMIF($5:$5,$D$23,#REF!)+100)/100</f>
        <v>#REF!</v>
      </c>
      <c r="F11" s="721" t="s">
        <v>3175</v>
      </c>
      <c r="G11" s="24">
        <f t="shared" ca="1" si="1"/>
        <v>1.1000000000000001</v>
      </c>
      <c r="H11" s="721" t="s">
        <v>3167</v>
      </c>
      <c r="I11" s="24">
        <f t="shared" ca="1" si="2"/>
        <v>1</v>
      </c>
      <c r="J11" s="721"/>
      <c r="K11" s="24">
        <f t="shared" ca="1" si="3"/>
        <v>1</v>
      </c>
      <c r="L11" s="721"/>
      <c r="M11" s="24">
        <f t="shared" ca="1" si="4"/>
        <v>1</v>
      </c>
      <c r="N11" s="721"/>
      <c r="O11" s="24">
        <f t="shared" ca="1" si="5"/>
        <v>1</v>
      </c>
      <c r="P11" s="721"/>
      <c r="Q11" s="24">
        <f t="shared" ca="1" si="6"/>
        <v>1</v>
      </c>
      <c r="R11" s="717">
        <f t="shared" ca="1" si="7"/>
        <v>98269</v>
      </c>
      <c r="S11" s="362">
        <f t="shared" ca="1" si="8"/>
        <v>8906</v>
      </c>
      <c r="T11" s="2964" t="s">
        <v>3183</v>
      </c>
      <c r="U11">
        <v>10</v>
      </c>
    </row>
    <row r="12" spans="1:21">
      <c r="A12" s="2933" t="s">
        <v>3067</v>
      </c>
      <c r="B12" s="2933">
        <v>900.43</v>
      </c>
      <c r="C12" s="24">
        <f t="shared" ca="1" si="0"/>
        <v>1.02</v>
      </c>
      <c r="D12" s="721" t="s">
        <v>3170</v>
      </c>
      <c r="E12" s="24" t="e">
        <f>(SUMIF($5:$5,D12,#REF!)-SUMIF($5:$5,$D$23,#REF!)+100)/100</f>
        <v>#REF!</v>
      </c>
      <c r="F12" s="721" t="s">
        <v>3175</v>
      </c>
      <c r="G12" s="24">
        <f t="shared" ca="1" si="1"/>
        <v>1.1000000000000001</v>
      </c>
      <c r="H12" s="721" t="s">
        <v>3167</v>
      </c>
      <c r="I12" s="24">
        <f t="shared" ca="1" si="2"/>
        <v>1</v>
      </c>
      <c r="J12" s="721"/>
      <c r="K12" s="24">
        <f t="shared" ca="1" si="3"/>
        <v>1</v>
      </c>
      <c r="L12" s="721"/>
      <c r="M12" s="24">
        <f t="shared" ca="1" si="4"/>
        <v>1</v>
      </c>
      <c r="N12" s="721"/>
      <c r="O12" s="24">
        <f t="shared" ca="1" si="5"/>
        <v>1</v>
      </c>
      <c r="P12" s="721"/>
      <c r="Q12" s="24">
        <f t="shared" ca="1" si="6"/>
        <v>1</v>
      </c>
      <c r="R12" s="717">
        <f t="shared" ca="1" si="7"/>
        <v>98269</v>
      </c>
      <c r="S12" s="362">
        <f t="shared" ca="1" si="8"/>
        <v>8848</v>
      </c>
      <c r="T12" s="2964" t="s">
        <v>3183</v>
      </c>
      <c r="U12">
        <v>11</v>
      </c>
    </row>
    <row r="13" spans="1:21">
      <c r="A13" s="2933" t="s">
        <v>3068</v>
      </c>
      <c r="B13" s="2933">
        <v>439.34</v>
      </c>
      <c r="C13" s="24">
        <f t="shared" ca="1" si="0"/>
        <v>1</v>
      </c>
      <c r="D13" s="721" t="s">
        <v>3158</v>
      </c>
      <c r="E13" s="24" t="e">
        <f>(SUMIF($5:$5,D13,#REF!)-SUMIF($5:$5,$D$23,#REF!)+100)/100</f>
        <v>#REF!</v>
      </c>
      <c r="F13" s="721" t="s">
        <v>3133</v>
      </c>
      <c r="G13" s="24">
        <f t="shared" ca="1" si="1"/>
        <v>1</v>
      </c>
      <c r="H13" s="721" t="s">
        <v>3167</v>
      </c>
      <c r="I13" s="24">
        <f t="shared" ca="1" si="2"/>
        <v>1</v>
      </c>
      <c r="J13" s="721"/>
      <c r="K13" s="24">
        <f t="shared" ca="1" si="3"/>
        <v>1</v>
      </c>
      <c r="L13" s="721"/>
      <c r="M13" s="24">
        <f t="shared" ca="1" si="4"/>
        <v>1</v>
      </c>
      <c r="N13" s="721"/>
      <c r="O13" s="24">
        <f t="shared" ca="1" si="5"/>
        <v>1</v>
      </c>
      <c r="P13" s="721"/>
      <c r="Q13" s="24">
        <f t="shared" ca="1" si="6"/>
        <v>1</v>
      </c>
      <c r="R13" s="717">
        <f t="shared" ca="1" si="7"/>
        <v>79622</v>
      </c>
      <c r="S13" s="362">
        <f t="shared" ca="1" si="8"/>
        <v>3498</v>
      </c>
      <c r="T13" s="2964" t="s">
        <v>3183</v>
      </c>
      <c r="U13">
        <v>12</v>
      </c>
    </row>
    <row r="14" spans="1:21">
      <c r="A14" s="2933" t="s">
        <v>3069</v>
      </c>
      <c r="B14" s="2933">
        <v>439.34</v>
      </c>
      <c r="C14" s="24">
        <f t="shared" ca="1" si="0"/>
        <v>1</v>
      </c>
      <c r="D14" s="721" t="s">
        <v>3170</v>
      </c>
      <c r="E14" s="24" t="e">
        <f>(SUMIF($5:$5,D14,#REF!)-SUMIF($5:$5,$D$23,#REF!)+100)/100</f>
        <v>#REF!</v>
      </c>
      <c r="F14" s="721" t="s">
        <v>3133</v>
      </c>
      <c r="G14" s="24">
        <f t="shared" ca="1" si="1"/>
        <v>1</v>
      </c>
      <c r="H14" s="721" t="s">
        <v>3167</v>
      </c>
      <c r="I14" s="24">
        <f t="shared" ca="1" si="2"/>
        <v>1</v>
      </c>
      <c r="J14" s="721"/>
      <c r="K14" s="24">
        <f t="shared" ca="1" si="3"/>
        <v>1</v>
      </c>
      <c r="L14" s="721"/>
      <c r="M14" s="24">
        <f t="shared" ca="1" si="4"/>
        <v>1</v>
      </c>
      <c r="N14" s="721"/>
      <c r="O14" s="24">
        <f t="shared" ca="1" si="5"/>
        <v>1</v>
      </c>
      <c r="P14" s="721"/>
      <c r="Q14" s="24">
        <f t="shared" ca="1" si="6"/>
        <v>1</v>
      </c>
      <c r="R14" s="717">
        <f t="shared" ca="1" si="7"/>
        <v>87584</v>
      </c>
      <c r="S14" s="362">
        <f t="shared" ca="1" si="8"/>
        <v>3848</v>
      </c>
      <c r="T14" s="2964" t="s">
        <v>3183</v>
      </c>
      <c r="U14">
        <v>13</v>
      </c>
    </row>
    <row r="15" spans="1:21">
      <c r="A15" s="2934" t="s">
        <v>3070</v>
      </c>
      <c r="B15" s="2934">
        <v>900.43</v>
      </c>
      <c r="C15" s="24">
        <f t="shared" ca="1" si="0"/>
        <v>1.02</v>
      </c>
      <c r="D15" s="721" t="s">
        <v>3170</v>
      </c>
      <c r="E15" s="24" t="e">
        <f>(SUMIF($5:$5,D15,#REF!)-SUMIF($5:$5,$D$23,#REF!)+100)/100</f>
        <v>#REF!</v>
      </c>
      <c r="F15" s="721" t="s">
        <v>3175</v>
      </c>
      <c r="G15" s="24">
        <f t="shared" ca="1" si="1"/>
        <v>1.1000000000000001</v>
      </c>
      <c r="H15" s="721" t="s">
        <v>3167</v>
      </c>
      <c r="I15" s="24">
        <f t="shared" ca="1" si="2"/>
        <v>1</v>
      </c>
      <c r="J15" s="721"/>
      <c r="K15" s="24">
        <f t="shared" ca="1" si="3"/>
        <v>1</v>
      </c>
      <c r="L15" s="721"/>
      <c r="M15" s="24">
        <f t="shared" ca="1" si="4"/>
        <v>1</v>
      </c>
      <c r="N15" s="721"/>
      <c r="O15" s="24">
        <f t="shared" ca="1" si="5"/>
        <v>1</v>
      </c>
      <c r="P15" s="721"/>
      <c r="Q15" s="24">
        <f t="shared" ca="1" si="6"/>
        <v>1</v>
      </c>
      <c r="R15" s="717">
        <f t="shared" ca="1" si="7"/>
        <v>98269</v>
      </c>
      <c r="S15" s="362">
        <f t="shared" ca="1" si="8"/>
        <v>8848</v>
      </c>
      <c r="T15" s="2964" t="s">
        <v>3183</v>
      </c>
      <c r="U15">
        <v>14</v>
      </c>
    </row>
    <row r="16" spans="1:21">
      <c r="A16" s="2934" t="s">
        <v>3071</v>
      </c>
      <c r="B16" s="2934">
        <v>906.27</v>
      </c>
      <c r="C16" s="24">
        <f t="shared" ca="1" si="0"/>
        <v>1.02</v>
      </c>
      <c r="D16" s="721" t="s">
        <v>3170</v>
      </c>
      <c r="E16" s="24" t="e">
        <f>(SUMIF($5:$5,D16,#REF!)-SUMIF($5:$5,$D$23,#REF!)+100)/100</f>
        <v>#REF!</v>
      </c>
      <c r="F16" s="721" t="s">
        <v>3175</v>
      </c>
      <c r="G16" s="24">
        <f t="shared" ca="1" si="1"/>
        <v>1.1000000000000001</v>
      </c>
      <c r="H16" s="721" t="s">
        <v>3167</v>
      </c>
      <c r="I16" s="24">
        <f t="shared" ca="1" si="2"/>
        <v>1</v>
      </c>
      <c r="J16" s="721"/>
      <c r="K16" s="24">
        <f t="shared" ca="1" si="3"/>
        <v>1</v>
      </c>
      <c r="L16" s="721"/>
      <c r="M16" s="24">
        <f t="shared" ca="1" si="4"/>
        <v>1</v>
      </c>
      <c r="N16" s="721"/>
      <c r="O16" s="24">
        <f t="shared" ca="1" si="5"/>
        <v>1</v>
      </c>
      <c r="P16" s="721"/>
      <c r="Q16" s="24">
        <f t="shared" ca="1" si="6"/>
        <v>1</v>
      </c>
      <c r="R16" s="717">
        <f t="shared" ca="1" si="7"/>
        <v>98269</v>
      </c>
      <c r="S16" s="362">
        <f t="shared" ca="1" si="8"/>
        <v>8906</v>
      </c>
      <c r="T16" s="2964" t="s">
        <v>3183</v>
      </c>
      <c r="U16">
        <v>15</v>
      </c>
    </row>
    <row r="17" spans="1:27">
      <c r="A17" s="3309" t="s">
        <v>3192</v>
      </c>
      <c r="B17" s="3309">
        <v>514.79999999999995</v>
      </c>
      <c r="C17" s="24">
        <f ca="1">IF(B17="",1,(LOOKUP(B17,$3:$3,$4:$4)-LOOKUP($B$23,$3:$3,$4:$4)+100)/100)</f>
        <v>1</v>
      </c>
      <c r="D17" s="721" t="s">
        <v>3163</v>
      </c>
      <c r="E17" s="24" t="e">
        <f>(SUMIF($5:$5,D17,#REF!)-SUMIF($5:$5,$D$23,#REF!)+100)/100</f>
        <v>#REF!</v>
      </c>
      <c r="F17" s="721" t="s">
        <v>3133</v>
      </c>
      <c r="G17" s="24">
        <f ca="1">(SUMIF($6:$6,F17,$7:$7)-SUMIF($6:$6,$F$23,$7:$7)+100)/100</f>
        <v>1</v>
      </c>
      <c r="H17" s="721" t="s">
        <v>3167</v>
      </c>
      <c r="I17" s="24">
        <f ca="1">(SUMIF($8:$8,H17,$9:$9)-SUMIF($8:$8,$H$23,$9:$9)+100)/100</f>
        <v>1</v>
      </c>
      <c r="J17" s="721"/>
      <c r="K17" s="24">
        <f ca="1">(SUMIF($10:$10,J17,$11:$11)-SUMIF($10:$10,$J$23,$11:$11)+100)/100</f>
        <v>1</v>
      </c>
      <c r="L17" s="721"/>
      <c r="M17" s="24">
        <f ca="1">(SUMIF($12:$12,L17,$13:$13)-SUMIF($12:$12,$L$23,$13:$13)+100)/100</f>
        <v>1</v>
      </c>
      <c r="N17" s="721"/>
      <c r="O17" s="24">
        <f ca="1">(SUMIF($14:$14,N17,$15:$15)-SUMIF($14:$14,$N$23,$15:$15)+100)/100</f>
        <v>1</v>
      </c>
      <c r="P17" s="721"/>
      <c r="Q17" s="24">
        <f ca="1">(SUMIF($16:$16,P17,$17:$17)-SUMIF($16:$16,$P$23,$17:$17)+100)/100</f>
        <v>1</v>
      </c>
      <c r="R17" s="717">
        <f ca="1">IF(B17="",0,ROUND($R$23*C17*E17*G17*I17*K17*M17*O17*Q17,0))</f>
        <v>83603</v>
      </c>
      <c r="S17" s="362">
        <f ca="1">ROUND(R17*B17/10000,0)</f>
        <v>4304</v>
      </c>
      <c r="T17" s="3313">
        <v>4</v>
      </c>
      <c r="U17">
        <v>16</v>
      </c>
    </row>
    <row r="18" spans="1:27">
      <c r="A18" s="3309" t="s">
        <v>3193</v>
      </c>
      <c r="B18" s="3309">
        <v>515.91</v>
      </c>
      <c r="C18" s="24">
        <f ca="1">IF(B18="",1,(LOOKUP(B18,$3:$3,$4:$4)-LOOKUP($B$23,$3:$3,$4:$4)+100)/100)</f>
        <v>1</v>
      </c>
      <c r="D18" s="721" t="s">
        <v>3163</v>
      </c>
      <c r="E18" s="24" t="e">
        <f>(SUMIF($5:$5,D18,#REF!)-SUMIF($5:$5,$D$23,#REF!)+100)/100</f>
        <v>#REF!</v>
      </c>
      <c r="F18" s="721" t="s">
        <v>3133</v>
      </c>
      <c r="G18" s="24">
        <f ca="1">(SUMIF($6:$6,F18,$7:$7)-SUMIF($6:$6,$F$23,$7:$7)+100)/100</f>
        <v>1</v>
      </c>
      <c r="H18" s="721" t="s">
        <v>3167</v>
      </c>
      <c r="I18" s="24">
        <f ca="1">(SUMIF($8:$8,H18,$9:$9)-SUMIF($8:$8,$H$23,$9:$9)+100)/100</f>
        <v>1</v>
      </c>
      <c r="J18" s="721"/>
      <c r="K18" s="24">
        <f ca="1">(SUMIF($10:$10,J18,$11:$11)-SUMIF($10:$10,$J$23,$11:$11)+100)/100</f>
        <v>1</v>
      </c>
      <c r="L18" s="721"/>
      <c r="M18" s="24">
        <f ca="1">(SUMIF($12:$12,L18,$13:$13)-SUMIF($12:$12,$L$23,$13:$13)+100)/100</f>
        <v>1</v>
      </c>
      <c r="N18" s="721"/>
      <c r="O18" s="24">
        <f ca="1">(SUMIF($14:$14,N18,$15:$15)-SUMIF($14:$14,$N$23,$15:$15)+100)/100</f>
        <v>1</v>
      </c>
      <c r="P18" s="721"/>
      <c r="Q18" s="24">
        <f ca="1">(SUMIF($16:$16,P18,$17:$17)-SUMIF($16:$16,$P$23,$17:$17)+100)/100</f>
        <v>1</v>
      </c>
      <c r="R18" s="717">
        <f ca="1">IF(B18="",0,ROUND($R$23*C18*E18*G18*I18*K18*M18*O18*Q18,0))</f>
        <v>83603</v>
      </c>
      <c r="S18" s="362">
        <f ca="1">ROUND(R18*B18/10000,0)</f>
        <v>4313</v>
      </c>
      <c r="T18" s="3313">
        <v>4</v>
      </c>
      <c r="U18">
        <v>17</v>
      </c>
      <c r="AA18" s="3318">
        <v>3548</v>
      </c>
    </row>
    <row r="19" spans="1:27">
      <c r="A19" s="3309" t="s">
        <v>3194</v>
      </c>
      <c r="B19" s="3309">
        <v>514.79999999999995</v>
      </c>
      <c r="C19" s="24">
        <f ca="1">IF(B19="",1,(LOOKUP(B19,$3:$3,$4:$4)-LOOKUP($B$23,$3:$3,$4:$4)+100)/100)</f>
        <v>1</v>
      </c>
      <c r="D19" s="721" t="s">
        <v>3163</v>
      </c>
      <c r="E19" s="24" t="e">
        <f>(SUMIF($5:$5,D19,#REF!)-SUMIF($5:$5,$D$23,#REF!)+100)/100</f>
        <v>#REF!</v>
      </c>
      <c r="F19" s="721" t="s">
        <v>3133</v>
      </c>
      <c r="G19" s="24">
        <f ca="1">(SUMIF($6:$6,F19,$7:$7)-SUMIF($6:$6,$F$23,$7:$7)+100)/100</f>
        <v>1</v>
      </c>
      <c r="H19" s="721" t="s">
        <v>3167</v>
      </c>
      <c r="I19" s="24">
        <f ca="1">(SUMIF($8:$8,H19,$9:$9)-SUMIF($8:$8,$H$23,$9:$9)+100)/100</f>
        <v>1</v>
      </c>
      <c r="J19" s="721"/>
      <c r="K19" s="24">
        <f ca="1">(SUMIF($10:$10,J19,$11:$11)-SUMIF($10:$10,$J$23,$11:$11)+100)/100</f>
        <v>1</v>
      </c>
      <c r="L19" s="721"/>
      <c r="M19" s="24">
        <f ca="1">(SUMIF($12:$12,L19,$13:$13)-SUMIF($12:$12,$L$23,$13:$13)+100)/100</f>
        <v>1</v>
      </c>
      <c r="N19" s="721"/>
      <c r="O19" s="24">
        <f ca="1">(SUMIF($14:$14,N19,$15:$15)-SUMIF($14:$14,$N$23,$15:$15)+100)/100</f>
        <v>1</v>
      </c>
      <c r="P19" s="721"/>
      <c r="Q19" s="24">
        <f ca="1">(SUMIF($16:$16,P19,$17:$17)-SUMIF($16:$16,$P$23,$17:$17)+100)/100</f>
        <v>1</v>
      </c>
      <c r="R19" s="717">
        <f ca="1">IF(B19="",0,ROUND($R$23*C19*E19*G19*I19*K19*M19*O19*Q19,0))</f>
        <v>83603</v>
      </c>
      <c r="S19" s="362">
        <f ca="1">ROUND(R19*B19/10000,0)</f>
        <v>4304</v>
      </c>
      <c r="T19" s="3313">
        <v>4</v>
      </c>
      <c r="U19">
        <v>18</v>
      </c>
      <c r="AA19" s="3318">
        <v>3547</v>
      </c>
    </row>
    <row r="20" spans="1:27">
      <c r="A20" s="3309" t="s">
        <v>3195</v>
      </c>
      <c r="B20" s="3309">
        <v>515.91</v>
      </c>
      <c r="C20" s="24">
        <f ca="1">IF(B20="",1,(LOOKUP(B20,$3:$3,$4:$4)-LOOKUP($B$23,$3:$3,$4:$4)+100)/100)</f>
        <v>1</v>
      </c>
      <c r="D20" s="721" t="s">
        <v>3163</v>
      </c>
      <c r="E20" s="24" t="e">
        <f>(SUMIF($5:$5,D20,#REF!)-SUMIF($5:$5,$D$23,#REF!)+100)/100</f>
        <v>#REF!</v>
      </c>
      <c r="F20" s="721" t="s">
        <v>3133</v>
      </c>
      <c r="G20" s="24">
        <f ca="1">(SUMIF($6:$6,F20,$7:$7)-SUMIF($6:$6,$F$23,$7:$7)+100)/100</f>
        <v>1</v>
      </c>
      <c r="H20" s="721" t="s">
        <v>3167</v>
      </c>
      <c r="I20" s="24">
        <f ca="1">(SUMIF($8:$8,H20,$9:$9)-SUMIF($8:$8,$H$23,$9:$9)+100)/100</f>
        <v>1</v>
      </c>
      <c r="J20" s="721"/>
      <c r="K20" s="24">
        <f ca="1">(SUMIF($10:$10,J20,$11:$11)-SUMIF($10:$10,$J$23,$11:$11)+100)/100</f>
        <v>1</v>
      </c>
      <c r="L20" s="721"/>
      <c r="M20" s="24">
        <f ca="1">(SUMIF($12:$12,L20,$13:$13)-SUMIF($12:$12,$L$23,$13:$13)+100)/100</f>
        <v>1</v>
      </c>
      <c r="N20" s="721"/>
      <c r="O20" s="24">
        <f ca="1">(SUMIF($14:$14,N20,$15:$15)-SUMIF($14:$14,$N$23,$15:$15)+100)/100</f>
        <v>1</v>
      </c>
      <c r="P20" s="721"/>
      <c r="Q20" s="24">
        <f ca="1">(SUMIF($16:$16,P20,$17:$17)-SUMIF($16:$16,$P$23,$17:$17)+100)/100</f>
        <v>1</v>
      </c>
      <c r="R20" s="717">
        <f ca="1">IF(B20="",0,ROUND($R$23*C20*E20*G20*I20*K20*M20*O20*Q20,0))</f>
        <v>83603</v>
      </c>
      <c r="S20" s="362">
        <f ca="1">ROUND(R20*B20/10000,0)</f>
        <v>4313</v>
      </c>
      <c r="T20" s="3313">
        <v>4</v>
      </c>
      <c r="U20">
        <v>19</v>
      </c>
      <c r="AA20" s="3318">
        <v>3550</v>
      </c>
    </row>
    <row r="21" spans="1:27">
      <c r="A21" s="3309" t="s">
        <v>3196</v>
      </c>
      <c r="B21" s="3309">
        <v>514.79999999999995</v>
      </c>
      <c r="C21" s="24">
        <f ca="1">IF(B21="",1,(LOOKUP(B21,$3:$3,$4:$4)-LOOKUP($B$23,$3:$3,$4:$4)+100)/100)</f>
        <v>1</v>
      </c>
      <c r="D21" s="721" t="s">
        <v>3170</v>
      </c>
      <c r="E21" s="24" t="e">
        <f>(SUMIF($5:$5,D21,#REF!)-SUMIF($5:$5,$D$23,#REF!)+100)/100</f>
        <v>#REF!</v>
      </c>
      <c r="F21" s="721" t="s">
        <v>3133</v>
      </c>
      <c r="G21" s="24">
        <f ca="1">(SUMIF($6:$6,F21,$7:$7)-SUMIF($6:$6,$F$23,$7:$7)+100)/100</f>
        <v>1</v>
      </c>
      <c r="H21" s="721" t="s">
        <v>3167</v>
      </c>
      <c r="I21" s="24">
        <f ca="1">(SUMIF($8:$8,H21,$9:$9)-SUMIF($8:$8,$H$23,$9:$9)+100)/100</f>
        <v>1</v>
      </c>
      <c r="J21" s="721"/>
      <c r="K21" s="24">
        <f ca="1">(SUMIF($10:$10,J21,$11:$11)-SUMIF($10:$10,$J$23,$11:$11)+100)/100</f>
        <v>1</v>
      </c>
      <c r="L21" s="721"/>
      <c r="M21" s="24">
        <f ca="1">(SUMIF($12:$12,L21,$13:$13)-SUMIF($12:$12,$L$23,$13:$13)+100)/100</f>
        <v>1</v>
      </c>
      <c r="N21" s="721"/>
      <c r="O21" s="24">
        <f ca="1">(SUMIF($14:$14,N21,$15:$15)-SUMIF($14:$14,$N$23,$15:$15)+100)/100</f>
        <v>1</v>
      </c>
      <c r="P21" s="721"/>
      <c r="Q21" s="24">
        <f ca="1">(SUMIF($16:$16,P21,$17:$17)-SUMIF($16:$16,$P$23,$17:$17)+100)/100</f>
        <v>1</v>
      </c>
      <c r="R21" s="717">
        <f ca="1">IF(B21="",0,ROUND($R$23*C21*E21*G21*I21*K21*M21*O21*Q21,0))</f>
        <v>87584</v>
      </c>
      <c r="S21" s="362">
        <f ca="1">ROUND(R21*B21/10000,0)</f>
        <v>4509</v>
      </c>
      <c r="T21" s="3313">
        <v>4</v>
      </c>
      <c r="U21">
        <v>20</v>
      </c>
      <c r="AA21" s="3318">
        <v>3728</v>
      </c>
    </row>
    <row r="22" spans="1:27">
      <c r="A22" s="3309" t="s">
        <v>3197</v>
      </c>
      <c r="B22" s="3309">
        <v>514.79999999999995</v>
      </c>
      <c r="C22" s="24">
        <f ca="1">IF(B22="",1,(LOOKUP(B22,$3:$3,$4:$4)-LOOKUP($B$23,$3:$3,$4:$4)+100)/100)</f>
        <v>1</v>
      </c>
      <c r="D22" s="721" t="s">
        <v>3170</v>
      </c>
      <c r="E22" s="24" t="e">
        <f>(SUMIF($5:$5,D22,#REF!)-SUMIF($5:$5,$D$23,#REF!)+100)/100</f>
        <v>#REF!</v>
      </c>
      <c r="F22" s="721" t="s">
        <v>3133</v>
      </c>
      <c r="G22" s="24">
        <f ca="1">(SUMIF($6:$6,F22,$7:$7)-SUMIF($6:$6,$F$23,$7:$7)+100)/100</f>
        <v>1</v>
      </c>
      <c r="H22" s="721" t="s">
        <v>3167</v>
      </c>
      <c r="I22" s="24">
        <f ca="1">(SUMIF($8:$8,H22,$9:$9)-SUMIF($8:$8,$H$23,$9:$9)+100)/100</f>
        <v>1</v>
      </c>
      <c r="J22" s="721"/>
      <c r="K22" s="24">
        <f ca="1">(SUMIF($10:$10,J22,$11:$11)-SUMIF($10:$10,$J$23,$11:$11)+100)/100</f>
        <v>1</v>
      </c>
      <c r="L22" s="721"/>
      <c r="M22" s="24">
        <f ca="1">(SUMIF($12:$12,L22,$13:$13)-SUMIF($12:$12,$L$23,$13:$13)+100)/100</f>
        <v>1</v>
      </c>
      <c r="N22" s="721"/>
      <c r="O22" s="24">
        <f ca="1">(SUMIF($14:$14,N22,$15:$15)-SUMIF($14:$14,$N$23,$15:$15)+100)/100</f>
        <v>1</v>
      </c>
      <c r="P22" s="721"/>
      <c r="Q22" s="24">
        <f ca="1">(SUMIF($16:$16,P22,$17:$17)-SUMIF($16:$16,$P$23,$17:$17)+100)/100</f>
        <v>1</v>
      </c>
      <c r="R22" s="717">
        <f ca="1">IF(B22="",0,ROUND($R$23*C22*E22*G22*I22*K22*M22*O22*Q22,0))</f>
        <v>87584</v>
      </c>
      <c r="S22" s="362">
        <f ca="1">ROUND(R22*B22/10000,0)</f>
        <v>4509</v>
      </c>
      <c r="T22" s="3313">
        <v>4</v>
      </c>
      <c r="U22">
        <v>21</v>
      </c>
      <c r="AA22" s="3318">
        <v>3761</v>
      </c>
    </row>
    <row r="23" spans="1:27">
      <c r="A23" s="3309" t="s">
        <v>3198</v>
      </c>
      <c r="B23" s="3309">
        <v>514.79999999999995</v>
      </c>
      <c r="C23" s="24">
        <f ca="1">IF(B23="",1,(LOOKUP(B23,$3:$3,$4:$4)-LOOKUP($B$23,$3:$3,$4:$4)+100)/100)</f>
        <v>1</v>
      </c>
      <c r="D23" s="721" t="s">
        <v>3170</v>
      </c>
      <c r="E23" s="24" t="e">
        <f>(SUMIF($5:$5,D23,#REF!)-SUMIF($5:$5,$D$23,#REF!)+100)/100</f>
        <v>#REF!</v>
      </c>
      <c r="F23" s="721" t="s">
        <v>3133</v>
      </c>
      <c r="G23" s="24">
        <f ca="1">(SUMIF($6:$6,F23,$7:$7)-SUMIF($6:$6,$F$23,$7:$7)+100)/100</f>
        <v>1</v>
      </c>
      <c r="H23" s="721" t="s">
        <v>3167</v>
      </c>
      <c r="I23" s="24">
        <f ca="1">(SUMIF($8:$8,H23,$9:$9)-SUMIF($8:$8,$H$23,$9:$9)+100)/100</f>
        <v>1</v>
      </c>
      <c r="J23" s="721"/>
      <c r="K23" s="24">
        <f ca="1">(SUMIF($10:$10,J23,$11:$11)-SUMIF($10:$10,$J$23,$11:$11)+100)/100</f>
        <v>1</v>
      </c>
      <c r="L23" s="721"/>
      <c r="M23" s="24">
        <f ca="1">(SUMIF($12:$12,L23,$13:$13)-SUMIF($12:$12,$L$23,$13:$13)+100)/100</f>
        <v>1</v>
      </c>
      <c r="N23" s="721"/>
      <c r="O23" s="24">
        <f ca="1">(SUMIF($14:$14,N23,$15:$15)-SUMIF($14:$14,$N$23,$15:$15)+100)/100</f>
        <v>1</v>
      </c>
      <c r="P23" s="721"/>
      <c r="Q23" s="24">
        <f ca="1">(SUMIF($16:$16,P23,$17:$17)-SUMIF($16:$16,$P$23,$17:$17)+100)/100</f>
        <v>1</v>
      </c>
      <c r="R23" s="717">
        <f ca="1">IF(B23="",0,ROUND($R$23*C23*E23*G23*I23*K23*M23*O23*Q23,0))</f>
        <v>87584</v>
      </c>
      <c r="S23" s="362">
        <f ca="1">ROUND(R23*B23/10000,0)</f>
        <v>4509</v>
      </c>
      <c r="T23" s="3313">
        <v>4</v>
      </c>
      <c r="U23">
        <v>22</v>
      </c>
      <c r="AA23" s="3318">
        <v>3728</v>
      </c>
    </row>
    <row r="24" spans="1:27">
      <c r="A24" s="3309" t="s">
        <v>3199</v>
      </c>
      <c r="B24" s="3309">
        <v>515.91</v>
      </c>
      <c r="C24" s="24">
        <f ca="1">IF(B24="",1,(LOOKUP(B24,$3:$3,$4:$4)-LOOKUP($B$23,$3:$3,$4:$4)+100)/100)</f>
        <v>1</v>
      </c>
      <c r="D24" s="721" t="s">
        <v>3158</v>
      </c>
      <c r="E24" s="24" t="e">
        <f>(SUMIF($5:$5,D24,#REF!)-SUMIF($5:$5,$D$23,#REF!)+100)/100</f>
        <v>#REF!</v>
      </c>
      <c r="F24" s="721" t="s">
        <v>3133</v>
      </c>
      <c r="G24" s="24">
        <f ca="1">(SUMIF($6:$6,F24,$7:$7)-SUMIF($6:$6,$F$23,$7:$7)+100)/100</f>
        <v>1</v>
      </c>
      <c r="H24" s="721" t="s">
        <v>3167</v>
      </c>
      <c r="I24" s="24">
        <f ca="1">(SUMIF($8:$8,H24,$9:$9)-SUMIF($8:$8,$H$23,$9:$9)+100)/100</f>
        <v>1</v>
      </c>
      <c r="J24" s="721"/>
      <c r="K24" s="24">
        <f ca="1">(SUMIF($10:$10,J24,$11:$11)-SUMIF($10:$10,$J$23,$11:$11)+100)/100</f>
        <v>1</v>
      </c>
      <c r="L24" s="721"/>
      <c r="M24" s="24">
        <f ca="1">(SUMIF($12:$12,L24,$13:$13)-SUMIF($12:$12,$L$23,$13:$13)+100)/100</f>
        <v>1</v>
      </c>
      <c r="N24" s="721"/>
      <c r="O24" s="24">
        <f ca="1">(SUMIF($14:$14,N24,$15:$15)-SUMIF($14:$14,$N$23,$15:$15)+100)/100</f>
        <v>1</v>
      </c>
      <c r="P24" s="721"/>
      <c r="Q24" s="24">
        <f ca="1">(SUMIF($16:$16,P24,$17:$17)-SUMIF($16:$16,$P$23,$17:$17)+100)/100</f>
        <v>1</v>
      </c>
      <c r="R24" s="717">
        <f ca="1">IF(B24="",0,ROUND($R$23*C24*E24*G24*I24*K24*M24*O24*Q24,0))</f>
        <v>79622</v>
      </c>
      <c r="S24" s="362">
        <f ca="1">ROUND(R24*B24/10000,0)</f>
        <v>4108</v>
      </c>
      <c r="T24" s="3313">
        <v>4</v>
      </c>
      <c r="U24">
        <v>23</v>
      </c>
      <c r="AA24" s="3318">
        <v>3728</v>
      </c>
    </row>
    <row r="25" spans="1:27">
      <c r="A25" s="2966" t="s">
        <v>3190</v>
      </c>
      <c r="B25" s="59">
        <v>514.79999999999995</v>
      </c>
      <c r="C25" s="24">
        <f ca="1">IF(B25="",1,(LOOKUP(B25,$3:$3,$4:$4)-LOOKUP($B$23,$3:$3,$4:$4)+100)/100)</f>
        <v>1</v>
      </c>
      <c r="D25" s="721" t="s">
        <v>3163</v>
      </c>
      <c r="E25" s="24" t="e">
        <f>(SUMIF($5:$5,D25,#REF!)-SUMIF($5:$5,$D$23,#REF!)+100)/100</f>
        <v>#REF!</v>
      </c>
      <c r="F25" s="721" t="s">
        <v>3133</v>
      </c>
      <c r="G25" s="24">
        <f ca="1">(SUMIF($6:$6,F25,$7:$7)-SUMIF($6:$6,$F$23,$7:$7)+100)/100</f>
        <v>1</v>
      </c>
      <c r="H25" s="721" t="s">
        <v>3167</v>
      </c>
      <c r="I25" s="24">
        <f ca="1">(SUMIF($8:$8,H25,$9:$9)-SUMIF($8:$8,$H$23,$9:$9)+100)/100</f>
        <v>1</v>
      </c>
      <c r="J25" s="721"/>
      <c r="K25" s="24">
        <f ca="1">(SUMIF($10:$10,J25,$11:$11)-SUMIF($10:$10,$J$23,$11:$11)+100)/100</f>
        <v>1</v>
      </c>
      <c r="L25" s="721"/>
      <c r="M25" s="24">
        <f ca="1">(SUMIF($12:$12,L25,$13:$13)-SUMIF($12:$12,$L$23,$13:$13)+100)/100</f>
        <v>1</v>
      </c>
      <c r="N25" s="721"/>
      <c r="O25" s="24">
        <f ca="1">(SUMIF($14:$14,N25,$15:$15)-SUMIF($14:$14,$N$23,$15:$15)+100)/100</f>
        <v>1</v>
      </c>
      <c r="P25" s="721"/>
      <c r="Q25" s="24">
        <f ca="1">(SUMIF($16:$16,P25,$17:$17)-SUMIF($16:$16,$P$23,$17:$17)+100)/100</f>
        <v>1</v>
      </c>
      <c r="R25" s="717">
        <f ca="1">IF(B25="",0,ROUND($R$23*C25*E25*G25*I25*K25*M25*O25*Q25,0))</f>
        <v>83603</v>
      </c>
      <c r="S25" s="362">
        <f ca="1">ROUND(R25*B25/10000,0)</f>
        <v>4304</v>
      </c>
      <c r="T25" s="2966" t="s">
        <v>3187</v>
      </c>
      <c r="U25">
        <v>24</v>
      </c>
    </row>
    <row r="26" spans="1:27">
      <c r="A26" s="2935" t="s">
        <v>3066</v>
      </c>
      <c r="B26" s="2936">
        <v>944.47</v>
      </c>
      <c r="C26" s="24">
        <f ca="1">IF(B26="",1,(LOOKUP(B26,$3:$3,$4:$4)-LOOKUP($B$23,$3:$3,$4:$4)+100)/100)</f>
        <v>1.02</v>
      </c>
      <c r="D26" s="721" t="s">
        <v>3170</v>
      </c>
      <c r="E26" s="24" t="e">
        <f>(SUMIF($5:$5,D26,#REF!)-SUMIF($5:$5,$D$23,#REF!)+100)/100</f>
        <v>#REF!</v>
      </c>
      <c r="F26" s="721" t="s">
        <v>3175</v>
      </c>
      <c r="G26" s="24">
        <f ca="1">(SUMIF($6:$6,F26,$7:$7)-SUMIF($6:$6,$F$23,$7:$7)+100)/100</f>
        <v>1.1000000000000001</v>
      </c>
      <c r="H26" s="721" t="s">
        <v>3167</v>
      </c>
      <c r="I26" s="24">
        <f ca="1">(SUMIF($8:$8,H26,$9:$9)-SUMIF($8:$8,$H$23,$9:$9)+100)/100</f>
        <v>1</v>
      </c>
      <c r="J26" s="721"/>
      <c r="K26" s="24">
        <f ca="1">(SUMIF($10:$10,J26,$11:$11)-SUMIF($10:$10,$J$23,$11:$11)+100)/100</f>
        <v>1</v>
      </c>
      <c r="L26" s="721"/>
      <c r="M26" s="24">
        <f ca="1">(SUMIF($12:$12,L26,$13:$13)-SUMIF($12:$12,$L$23,$13:$13)+100)/100</f>
        <v>1</v>
      </c>
      <c r="N26" s="721"/>
      <c r="O26" s="24">
        <f ca="1">(SUMIF($14:$14,N26,$15:$15)-SUMIF($14:$14,$N$23,$15:$15)+100)/100</f>
        <v>1</v>
      </c>
      <c r="P26" s="721"/>
      <c r="Q26" s="24">
        <f ca="1">(SUMIF($16:$16,P26,$17:$17)-SUMIF($16:$16,$P$23,$17:$17)+100)/100</f>
        <v>1</v>
      </c>
      <c r="R26" s="717">
        <f ca="1">IF(B26="",0,ROUND($R$23*C26*E26*G26*I26*K26*M26*O26*Q26,0))</f>
        <v>98269</v>
      </c>
      <c r="S26" s="362">
        <f ca="1">ROUND(R26*B26/10000,0)</f>
        <v>9281</v>
      </c>
      <c r="T26" s="2964" t="s">
        <v>3184</v>
      </c>
      <c r="U26">
        <v>25</v>
      </c>
    </row>
    <row r="27" spans="1:27">
      <c r="A27" s="2935" t="s">
        <v>3067</v>
      </c>
      <c r="B27" s="2935">
        <v>943.7</v>
      </c>
      <c r="C27" s="24">
        <f ca="1">IF(B27="",1,(LOOKUP(B27,$3:$3,$4:$4)-LOOKUP($B$23,$3:$3,$4:$4)+100)/100)</f>
        <v>1.02</v>
      </c>
      <c r="D27" s="721" t="s">
        <v>3170</v>
      </c>
      <c r="E27" s="24" t="e">
        <f>(SUMIF($5:$5,D27,#REF!)-SUMIF($5:$5,$D$23,#REF!)+100)/100</f>
        <v>#REF!</v>
      </c>
      <c r="F27" s="721" t="s">
        <v>3175</v>
      </c>
      <c r="G27" s="24">
        <f ca="1">(SUMIF($6:$6,F27,$7:$7)-SUMIF($6:$6,$F$23,$7:$7)+100)/100</f>
        <v>1.1000000000000001</v>
      </c>
      <c r="H27" s="721" t="s">
        <v>3167</v>
      </c>
      <c r="I27" s="24">
        <f ca="1">(SUMIF($8:$8,H27,$9:$9)-SUMIF($8:$8,$H$23,$9:$9)+100)/100</f>
        <v>1</v>
      </c>
      <c r="J27" s="721"/>
      <c r="K27" s="24">
        <f ca="1">(SUMIF($10:$10,J27,$11:$11)-SUMIF($10:$10,$J$23,$11:$11)+100)/100</f>
        <v>1</v>
      </c>
      <c r="L27" s="721"/>
      <c r="M27" s="24">
        <f ca="1">(SUMIF($12:$12,L27,$13:$13)-SUMIF($12:$12,$L$23,$13:$13)+100)/100</f>
        <v>1</v>
      </c>
      <c r="N27" s="721"/>
      <c r="O27" s="24">
        <f ca="1">(SUMIF($14:$14,N27,$15:$15)-SUMIF($14:$14,$N$23,$15:$15)+100)/100</f>
        <v>1</v>
      </c>
      <c r="P27" s="721"/>
      <c r="Q27" s="24">
        <f ca="1">(SUMIF($16:$16,P27,$17:$17)-SUMIF($16:$16,$P$23,$17:$17)+100)/100</f>
        <v>1</v>
      </c>
      <c r="R27" s="717">
        <f ca="1">IF(B27="",0,ROUND($R$23*C27*E27*G27*I27*K27*M27*O27*Q27,0))</f>
        <v>98269</v>
      </c>
      <c r="S27" s="362">
        <f ca="1">ROUND(R27*B27/10000,0)</f>
        <v>9274</v>
      </c>
      <c r="T27" s="2964" t="s">
        <v>3184</v>
      </c>
      <c r="U27">
        <v>26</v>
      </c>
    </row>
    <row r="28" spans="1:27">
      <c r="A28" s="3309" t="s">
        <v>3200</v>
      </c>
      <c r="B28" s="3309">
        <v>514.79999999999995</v>
      </c>
      <c r="C28" s="24">
        <f ca="1">IF(B28="",1,(LOOKUP(B28,$3:$3,$4:$4)-LOOKUP($B$23,$3:$3,$4:$4)+100)/100)</f>
        <v>1</v>
      </c>
      <c r="D28" s="721" t="s">
        <v>3163</v>
      </c>
      <c r="E28" s="24" t="e">
        <f>(SUMIF($5:$5,D28,#REF!)-SUMIF($5:$5,$D$23,#REF!)+100)/100</f>
        <v>#REF!</v>
      </c>
      <c r="F28" s="721" t="s">
        <v>3133</v>
      </c>
      <c r="G28" s="24">
        <f ca="1">(SUMIF($6:$6,F28,$7:$7)-SUMIF($6:$6,$F$23,$7:$7)+100)/100</f>
        <v>1</v>
      </c>
      <c r="H28" s="721" t="s">
        <v>3167</v>
      </c>
      <c r="I28" s="24">
        <f ca="1">(SUMIF($8:$8,H28,$9:$9)-SUMIF($8:$8,$H$23,$9:$9)+100)/100</f>
        <v>1</v>
      </c>
      <c r="J28" s="721"/>
      <c r="K28" s="24">
        <f ca="1">(SUMIF($10:$10,J28,$11:$11)-SUMIF($10:$10,$J$23,$11:$11)+100)/100</f>
        <v>1</v>
      </c>
      <c r="L28" s="721"/>
      <c r="M28" s="24">
        <f ca="1">(SUMIF($12:$12,L28,$13:$13)-SUMIF($12:$12,$L$23,$13:$13)+100)/100</f>
        <v>1</v>
      </c>
      <c r="N28" s="721"/>
      <c r="O28" s="24">
        <f ca="1">(SUMIF($14:$14,N28,$15:$15)-SUMIF($14:$14,$N$23,$15:$15)+100)/100</f>
        <v>1</v>
      </c>
      <c r="P28" s="721"/>
      <c r="Q28" s="24">
        <f ca="1">(SUMIF($16:$16,P28,$17:$17)-SUMIF($16:$16,$P$23,$17:$17)+100)/100</f>
        <v>1</v>
      </c>
      <c r="R28" s="717">
        <f ca="1">IF(B28="",0,ROUND($R$23*C28*E28*G28*I28*K28*M28*O28*Q28,0))</f>
        <v>83603</v>
      </c>
      <c r="S28" s="362">
        <f ca="1">ROUND(R28*B28/10000,0)</f>
        <v>4304</v>
      </c>
      <c r="T28" s="3313">
        <v>4</v>
      </c>
      <c r="U28">
        <v>27</v>
      </c>
      <c r="AA28" s="3318">
        <v>3761</v>
      </c>
    </row>
    <row r="29" spans="1:27">
      <c r="A29" s="3311" t="s">
        <v>3201</v>
      </c>
      <c r="B29" s="3311">
        <v>515.91</v>
      </c>
      <c r="C29" s="24">
        <f ca="1">IF(B29="",1,(LOOKUP(B29,$3:$3,$4:$4)-LOOKUP($B$23,$3:$3,$4:$4)+100)/100)</f>
        <v>1</v>
      </c>
      <c r="D29" s="721" t="s">
        <v>3170</v>
      </c>
      <c r="E29" s="24" t="e">
        <f>(SUMIF($5:$5,D29,#REF!)-SUMIF($5:$5,$D$23,#REF!)+100)/100</f>
        <v>#REF!</v>
      </c>
      <c r="F29" s="721" t="s">
        <v>3133</v>
      </c>
      <c r="G29" s="24">
        <f ca="1">(SUMIF($6:$6,F29,$7:$7)-SUMIF($6:$6,$F$23,$7:$7)+100)/100</f>
        <v>1</v>
      </c>
      <c r="H29" s="721" t="s">
        <v>3167</v>
      </c>
      <c r="I29" s="24">
        <f ca="1">(SUMIF($8:$8,H29,$9:$9)-SUMIF($8:$8,$H$23,$9:$9)+100)/100</f>
        <v>1</v>
      </c>
      <c r="J29" s="721"/>
      <c r="K29" s="24">
        <f ca="1">(SUMIF($10:$10,J29,$11:$11)-SUMIF($10:$10,$J$23,$11:$11)+100)/100</f>
        <v>1</v>
      </c>
      <c r="L29" s="721"/>
      <c r="M29" s="24">
        <f ca="1">(SUMIF($12:$12,L29,$13:$13)-SUMIF($12:$12,$L$23,$13:$13)+100)/100</f>
        <v>1</v>
      </c>
      <c r="N29" s="721"/>
      <c r="O29" s="24">
        <f ca="1">(SUMIF($14:$14,N29,$15:$15)-SUMIF($14:$14,$N$23,$15:$15)+100)/100</f>
        <v>1</v>
      </c>
      <c r="P29" s="721"/>
      <c r="Q29" s="24">
        <f ca="1">(SUMIF($16:$16,P29,$17:$17)-SUMIF($16:$16,$P$23,$17:$17)+100)/100</f>
        <v>1</v>
      </c>
      <c r="R29" s="717">
        <f ca="1">IF(B29="",0,ROUND($R$23*C29*E29*G29*I29*K29*M29*O29*Q29,0))</f>
        <v>87584</v>
      </c>
      <c r="S29" s="362">
        <f ca="1">ROUND(R29*B29/10000,0)</f>
        <v>4519</v>
      </c>
      <c r="T29" s="3317">
        <v>4</v>
      </c>
      <c r="U29">
        <v>28</v>
      </c>
      <c r="AA29" s="3318">
        <v>3940</v>
      </c>
    </row>
    <row r="30" spans="1:27">
      <c r="A30" s="2966" t="s">
        <v>3189</v>
      </c>
      <c r="B30" s="59">
        <v>515.91</v>
      </c>
      <c r="C30" s="24">
        <f ca="1">IF(B30="",1,(LOOKUP(B30,$3:$3,$4:$4)-LOOKUP($B$23,$3:$3,$4:$4)+100)/100)</f>
        <v>1</v>
      </c>
      <c r="D30" s="721" t="s">
        <v>3163</v>
      </c>
      <c r="E30" s="24" t="e">
        <f>(SUMIF($5:$5,D30,#REF!)-SUMIF($5:$5,$D$23,#REF!)+100)/100</f>
        <v>#REF!</v>
      </c>
      <c r="F30" s="721" t="s">
        <v>3133</v>
      </c>
      <c r="G30" s="24">
        <f ca="1">(SUMIF($6:$6,F30,$7:$7)-SUMIF($6:$6,$F$23,$7:$7)+100)/100</f>
        <v>1</v>
      </c>
      <c r="H30" s="721" t="s">
        <v>3167</v>
      </c>
      <c r="I30" s="24">
        <f ca="1">(SUMIF($8:$8,H30,$9:$9)-SUMIF($8:$8,$H$23,$9:$9)+100)/100</f>
        <v>1</v>
      </c>
      <c r="J30" s="721"/>
      <c r="K30" s="24">
        <f ca="1">(SUMIF($10:$10,J30,$11:$11)-SUMIF($10:$10,$J$23,$11:$11)+100)/100</f>
        <v>1</v>
      </c>
      <c r="L30" s="721"/>
      <c r="M30" s="24">
        <f ca="1">(SUMIF($12:$12,L30,$13:$13)-SUMIF($12:$12,$L$23,$13:$13)+100)/100</f>
        <v>1</v>
      </c>
      <c r="N30" s="721"/>
      <c r="O30" s="24">
        <f ca="1">(SUMIF($14:$14,N30,$15:$15)-SUMIF($14:$14,$N$23,$15:$15)+100)/100</f>
        <v>1</v>
      </c>
      <c r="P30" s="721"/>
      <c r="Q30" s="24">
        <f ca="1">(SUMIF($16:$16,P30,$17:$17)-SUMIF($16:$16,$P$23,$17:$17)+100)/100</f>
        <v>1</v>
      </c>
      <c r="R30" s="717">
        <f ca="1">IF(B30="",0,ROUND($R$23*C30*E30*G30*I30*K30*M30*O30*Q30,0))</f>
        <v>83603</v>
      </c>
      <c r="S30" s="362">
        <f ca="1">ROUND(R30*B30/10000,0)</f>
        <v>4313</v>
      </c>
      <c r="T30" s="2966" t="s">
        <v>3187</v>
      </c>
      <c r="U30">
        <v>29</v>
      </c>
    </row>
    <row r="31" spans="1:27">
      <c r="A31" s="2935" t="s">
        <v>3073</v>
      </c>
      <c r="B31" s="2935">
        <v>513.07000000000005</v>
      </c>
      <c r="C31" s="24">
        <f ca="1">IF(B31="",1,(LOOKUP(B31,$3:$3,$4:$4)-LOOKUP($B$23,$3:$3,$4:$4)+100)/100)</f>
        <v>1</v>
      </c>
      <c r="D31" s="721" t="s">
        <v>3158</v>
      </c>
      <c r="E31" s="24" t="e">
        <f>(SUMIF($5:$5,D31,#REF!)-SUMIF($5:$5,$D$23,#REF!)+100)/100</f>
        <v>#REF!</v>
      </c>
      <c r="F31" s="721" t="s">
        <v>3133</v>
      </c>
      <c r="G31" s="24">
        <f ca="1">(SUMIF($6:$6,F31,$7:$7)-SUMIF($6:$6,$F$23,$7:$7)+100)/100</f>
        <v>1</v>
      </c>
      <c r="H31" s="721" t="s">
        <v>3167</v>
      </c>
      <c r="I31" s="24">
        <f ca="1">(SUMIF($8:$8,H31,$9:$9)-SUMIF($8:$8,$H$23,$9:$9)+100)/100</f>
        <v>1</v>
      </c>
      <c r="J31" s="721"/>
      <c r="K31" s="24">
        <f ca="1">(SUMIF($10:$10,J31,$11:$11)-SUMIF($10:$10,$J$23,$11:$11)+100)/100</f>
        <v>1</v>
      </c>
      <c r="L31" s="721"/>
      <c r="M31" s="24">
        <f ca="1">(SUMIF($12:$12,L31,$13:$13)-SUMIF($12:$12,$L$23,$13:$13)+100)/100</f>
        <v>1</v>
      </c>
      <c r="N31" s="721"/>
      <c r="O31" s="24">
        <f ca="1">(SUMIF($14:$14,N31,$15:$15)-SUMIF($14:$14,$N$23,$15:$15)+100)/100</f>
        <v>1</v>
      </c>
      <c r="P31" s="721"/>
      <c r="Q31" s="24">
        <f ca="1">(SUMIF($16:$16,P31,$17:$17)-SUMIF($16:$16,$P$23,$17:$17)+100)/100</f>
        <v>1</v>
      </c>
      <c r="R31" s="717">
        <f ca="1">IF(B31="",0,ROUND($R$23*C31*E31*G31*I31*K31*M31*O31*Q31,0))</f>
        <v>79622</v>
      </c>
      <c r="S31" s="362">
        <f ca="1">ROUND(R31*B31/10000,0)</f>
        <v>4085</v>
      </c>
      <c r="T31" s="2964" t="s">
        <v>3184</v>
      </c>
      <c r="U31">
        <v>30</v>
      </c>
    </row>
    <row r="32" spans="1:27">
      <c r="A32" s="2935" t="s">
        <v>3074</v>
      </c>
      <c r="B32" s="2935">
        <v>514.23</v>
      </c>
      <c r="C32" s="24">
        <f ca="1">IF(B32="",1,(LOOKUP(B32,$3:$3,$4:$4)-LOOKUP($B$23,$3:$3,$4:$4)+100)/100)</f>
        <v>1</v>
      </c>
      <c r="D32" s="721" t="s">
        <v>3158</v>
      </c>
      <c r="E32" s="24" t="e">
        <f>(SUMIF($5:$5,D32,#REF!)-SUMIF($5:$5,$D$23,#REF!)+100)/100</f>
        <v>#REF!</v>
      </c>
      <c r="F32" s="721" t="s">
        <v>3133</v>
      </c>
      <c r="G32" s="24">
        <f ca="1">(SUMIF($6:$6,F32,$7:$7)-SUMIF($6:$6,$F$23,$7:$7)+100)/100</f>
        <v>1</v>
      </c>
      <c r="H32" s="721" t="s">
        <v>3167</v>
      </c>
      <c r="I32" s="24">
        <f ca="1">(SUMIF($8:$8,H32,$9:$9)-SUMIF($8:$8,$H$23,$9:$9)+100)/100</f>
        <v>1</v>
      </c>
      <c r="J32" s="721"/>
      <c r="K32" s="24">
        <f ca="1">(SUMIF($10:$10,J32,$11:$11)-SUMIF($10:$10,$J$23,$11:$11)+100)/100</f>
        <v>1</v>
      </c>
      <c r="L32" s="721"/>
      <c r="M32" s="24">
        <f ca="1">(SUMIF($12:$12,L32,$13:$13)-SUMIF($12:$12,$L$23,$13:$13)+100)/100</f>
        <v>1</v>
      </c>
      <c r="N32" s="721"/>
      <c r="O32" s="24">
        <f ca="1">(SUMIF($14:$14,N32,$15:$15)-SUMIF($14:$14,$N$23,$15:$15)+100)/100</f>
        <v>1</v>
      </c>
      <c r="P32" s="721"/>
      <c r="Q32" s="24">
        <f ca="1">(SUMIF($16:$16,P32,$17:$17)-SUMIF($16:$16,$P$23,$17:$17)+100)/100</f>
        <v>1</v>
      </c>
      <c r="R32" s="717">
        <f ca="1">IF(B32="",0,ROUND($R$23*C32*E32*G32*I32*K32*M32*O32*Q32,0))</f>
        <v>79622</v>
      </c>
      <c r="S32" s="362">
        <f ca="1">ROUND(R32*B32/10000,0)</f>
        <v>4094</v>
      </c>
      <c r="T32" s="2964" t="s">
        <v>3184</v>
      </c>
      <c r="U32">
        <v>31</v>
      </c>
    </row>
    <row r="33" spans="1:21">
      <c r="A33" s="2935" t="s">
        <v>3079</v>
      </c>
      <c r="B33" s="2936">
        <v>515.91</v>
      </c>
      <c r="C33" s="24">
        <f ca="1">IF(B33="",1,(LOOKUP(B33,$3:$3,$4:$4)-LOOKUP($B$23,$3:$3,$4:$4)+100)/100)</f>
        <v>1</v>
      </c>
      <c r="D33" s="721" t="s">
        <v>3170</v>
      </c>
      <c r="E33" s="24" t="e">
        <f>(SUMIF($5:$5,D33,#REF!)-SUMIF($5:$5,$D$23,#REF!)+100)/100</f>
        <v>#REF!</v>
      </c>
      <c r="F33" s="721" t="s">
        <v>3133</v>
      </c>
      <c r="G33" s="24">
        <f ca="1">(SUMIF($6:$6,F33,$7:$7)-SUMIF($6:$6,$F$23,$7:$7)+100)/100</f>
        <v>1</v>
      </c>
      <c r="H33" s="721" t="s">
        <v>3167</v>
      </c>
      <c r="I33" s="24">
        <f ca="1">(SUMIF($8:$8,H33,$9:$9)-SUMIF($8:$8,$H$23,$9:$9)+100)/100</f>
        <v>1</v>
      </c>
      <c r="J33" s="721"/>
      <c r="K33" s="24">
        <f ca="1">(SUMIF($10:$10,J33,$11:$11)-SUMIF($10:$10,$J$23,$11:$11)+100)/100</f>
        <v>1</v>
      </c>
      <c r="L33" s="721"/>
      <c r="M33" s="24">
        <f ca="1">(SUMIF($12:$12,L33,$13:$13)-SUMIF($12:$12,$L$23,$13:$13)+100)/100</f>
        <v>1</v>
      </c>
      <c r="N33" s="721"/>
      <c r="O33" s="24">
        <f ca="1">(SUMIF($14:$14,N33,$15:$15)-SUMIF($14:$14,$N$23,$15:$15)+100)/100</f>
        <v>1</v>
      </c>
      <c r="P33" s="721"/>
      <c r="Q33" s="24">
        <f ca="1">(SUMIF($16:$16,P33,$17:$17)-SUMIF($16:$16,$P$23,$17:$17)+100)/100</f>
        <v>1</v>
      </c>
      <c r="R33" s="717">
        <f ca="1">IF(B33="",0,ROUND($R$23*C33*E33*G33*I33*K33*M33*O33*Q33,0))</f>
        <v>87584</v>
      </c>
      <c r="S33" s="362">
        <f ca="1">ROUND(R33*B33/10000,0)</f>
        <v>4519</v>
      </c>
      <c r="T33" s="2964" t="s">
        <v>3184</v>
      </c>
      <c r="U33">
        <v>32</v>
      </c>
    </row>
    <row r="34" spans="1:21">
      <c r="A34" s="2935" t="s">
        <v>3080</v>
      </c>
      <c r="B34" s="2936">
        <v>514.79999999999995</v>
      </c>
      <c r="C34" s="24">
        <f ca="1">IF(B34="",1,(LOOKUP(B34,$3:$3,$4:$4)-LOOKUP($B$23,$3:$3,$4:$4)+100)/100)</f>
        <v>1</v>
      </c>
      <c r="D34" s="721" t="s">
        <v>3170</v>
      </c>
      <c r="E34" s="24" t="e">
        <f>(SUMIF($5:$5,D34,#REF!)-SUMIF($5:$5,$D$23,#REF!)+100)/100</f>
        <v>#REF!</v>
      </c>
      <c r="F34" s="721" t="s">
        <v>3133</v>
      </c>
      <c r="G34" s="24">
        <f ca="1">(SUMIF($6:$6,F34,$7:$7)-SUMIF($6:$6,$F$23,$7:$7)+100)/100</f>
        <v>1</v>
      </c>
      <c r="H34" s="721" t="s">
        <v>3167</v>
      </c>
      <c r="I34" s="24">
        <f ca="1">(SUMIF($8:$8,H34,$9:$9)-SUMIF($8:$8,$H$23,$9:$9)+100)/100</f>
        <v>1</v>
      </c>
      <c r="J34" s="721"/>
      <c r="K34" s="24">
        <f ca="1">(SUMIF($10:$10,J34,$11:$11)-SUMIF($10:$10,$J$23,$11:$11)+100)/100</f>
        <v>1</v>
      </c>
      <c r="L34" s="721"/>
      <c r="M34" s="24">
        <f ca="1">(SUMIF($12:$12,L34,$13:$13)-SUMIF($12:$12,$L$23,$13:$13)+100)/100</f>
        <v>1</v>
      </c>
      <c r="N34" s="721"/>
      <c r="O34" s="24">
        <f ca="1">(SUMIF($14:$14,N34,$15:$15)-SUMIF($14:$14,$N$23,$15:$15)+100)/100</f>
        <v>1</v>
      </c>
      <c r="P34" s="721"/>
      <c r="Q34" s="24">
        <f ca="1">(SUMIF($16:$16,P34,$17:$17)-SUMIF($16:$16,$P$23,$17:$17)+100)/100</f>
        <v>1</v>
      </c>
      <c r="R34" s="717">
        <f ca="1">IF(B34="",0,ROUND($R$23*C34*E34*G34*I34*K34*M34*O34*Q34,0))</f>
        <v>87584</v>
      </c>
      <c r="S34" s="362">
        <f ca="1">ROUND(R34*B34/10000,0)</f>
        <v>4509</v>
      </c>
      <c r="T34" s="2965" t="s">
        <v>3184</v>
      </c>
      <c r="U34">
        <v>33</v>
      </c>
    </row>
    <row r="35" spans="1:21">
      <c r="A35" s="2935" t="s">
        <v>3081</v>
      </c>
      <c r="B35" s="2936">
        <v>515.91</v>
      </c>
      <c r="C35" s="24">
        <f ca="1">IF(B35="",1,(LOOKUP(B35,$3:$3,$4:$4)-LOOKUP($B$23,$3:$3,$4:$4)+100)/100)</f>
        <v>1</v>
      </c>
      <c r="D35" s="721" t="s">
        <v>3170</v>
      </c>
      <c r="E35" s="24" t="e">
        <f>(SUMIF($5:$5,D35,#REF!)-SUMIF($5:$5,$D$23,#REF!)+100)/100</f>
        <v>#REF!</v>
      </c>
      <c r="F35" s="721" t="s">
        <v>3133</v>
      </c>
      <c r="G35" s="24">
        <f ca="1">(SUMIF($6:$6,F35,$7:$7)-SUMIF($6:$6,$F$23,$7:$7)+100)/100</f>
        <v>1</v>
      </c>
      <c r="H35" s="721" t="s">
        <v>3167</v>
      </c>
      <c r="I35" s="24">
        <f ca="1">(SUMIF($8:$8,H35,$9:$9)-SUMIF($8:$8,$H$23,$9:$9)+100)/100</f>
        <v>1</v>
      </c>
      <c r="J35" s="721"/>
      <c r="K35" s="24">
        <f ca="1">(SUMIF($10:$10,J35,$11:$11)-SUMIF($10:$10,$J$23,$11:$11)+100)/100</f>
        <v>1</v>
      </c>
      <c r="L35" s="721"/>
      <c r="M35" s="24">
        <f ca="1">(SUMIF($12:$12,L35,$13:$13)-SUMIF($12:$12,$L$23,$13:$13)+100)/100</f>
        <v>1</v>
      </c>
      <c r="N35" s="721"/>
      <c r="O35" s="24">
        <f ca="1">(SUMIF($14:$14,N35,$15:$15)-SUMIF($14:$14,$N$23,$15:$15)+100)/100</f>
        <v>1</v>
      </c>
      <c r="P35" s="721"/>
      <c r="Q35" s="24">
        <f ca="1">(SUMIF($16:$16,P35,$17:$17)-SUMIF($16:$16,$P$23,$17:$17)+100)/100</f>
        <v>1</v>
      </c>
      <c r="R35" s="717">
        <f ca="1">IF(B35="",0,ROUND($R$23*C35*E35*G35*I35*K35*M35*O35*Q35,0))</f>
        <v>87584</v>
      </c>
      <c r="S35" s="362">
        <f ca="1">ROUND(R35*B35/10000,0)</f>
        <v>4519</v>
      </c>
      <c r="T35" s="2964" t="s">
        <v>3184</v>
      </c>
      <c r="U35">
        <v>34</v>
      </c>
    </row>
    <row r="36" spans="1:21">
      <c r="A36" s="2935" t="s">
        <v>3082</v>
      </c>
      <c r="B36" s="2936">
        <v>514.79999999999995</v>
      </c>
      <c r="C36" s="24">
        <f ca="1">IF(B36="",1,(LOOKUP(B36,$3:$3,$4:$4)-LOOKUP($B$23,$3:$3,$4:$4)+100)/100)</f>
        <v>1</v>
      </c>
      <c r="D36" s="721" t="s">
        <v>3170</v>
      </c>
      <c r="E36" s="24" t="e">
        <f>(SUMIF($5:$5,D36,#REF!)-SUMIF($5:$5,$D$23,#REF!)+100)/100</f>
        <v>#REF!</v>
      </c>
      <c r="F36" s="721" t="s">
        <v>3133</v>
      </c>
      <c r="G36" s="24">
        <f ca="1">(SUMIF($6:$6,F36,$7:$7)-SUMIF($6:$6,$F$23,$7:$7)+100)/100</f>
        <v>1</v>
      </c>
      <c r="H36" s="721" t="s">
        <v>3167</v>
      </c>
      <c r="I36" s="24">
        <f ca="1">(SUMIF($8:$8,H36,$9:$9)-SUMIF($8:$8,$H$23,$9:$9)+100)/100</f>
        <v>1</v>
      </c>
      <c r="J36" s="721"/>
      <c r="K36" s="24">
        <f ca="1">(SUMIF($10:$10,J36,$11:$11)-SUMIF($10:$10,$J$23,$11:$11)+100)/100</f>
        <v>1</v>
      </c>
      <c r="L36" s="721"/>
      <c r="M36" s="24">
        <f ca="1">(SUMIF($12:$12,L36,$13:$13)-SUMIF($12:$12,$L$23,$13:$13)+100)/100</f>
        <v>1</v>
      </c>
      <c r="N36" s="721"/>
      <c r="O36" s="24">
        <f ca="1">(SUMIF($14:$14,N36,$15:$15)-SUMIF($14:$14,$N$23,$15:$15)+100)/100</f>
        <v>1</v>
      </c>
      <c r="P36" s="721"/>
      <c r="Q36" s="24">
        <f ca="1">(SUMIF($16:$16,P36,$17:$17)-SUMIF($16:$16,$P$23,$17:$17)+100)/100</f>
        <v>1</v>
      </c>
      <c r="R36" s="717">
        <f ca="1">IF(B36="",0,ROUND($R$23*C36*E36*G36*I36*K36*M36*O36*Q36,0))</f>
        <v>87584</v>
      </c>
      <c r="S36" s="362">
        <f ca="1">ROUND(R36*B36/10000,0)</f>
        <v>4509</v>
      </c>
      <c r="T36" s="2964" t="s">
        <v>3184</v>
      </c>
      <c r="U36">
        <v>35</v>
      </c>
    </row>
    <row r="37" spans="1:21">
      <c r="A37" s="2935" t="s">
        <v>3083</v>
      </c>
      <c r="B37" s="2936">
        <v>515.91</v>
      </c>
      <c r="C37" s="24">
        <f ca="1">IF(B37="",1,(LOOKUP(B37,$3:$3,$4:$4)-LOOKUP($B$23,$3:$3,$4:$4)+100)/100)</f>
        <v>1</v>
      </c>
      <c r="D37" s="721" t="s">
        <v>3170</v>
      </c>
      <c r="E37" s="24" t="e">
        <f>(SUMIF($5:$5,D37,#REF!)-SUMIF($5:$5,$D$23,#REF!)+100)/100</f>
        <v>#REF!</v>
      </c>
      <c r="F37" s="721" t="s">
        <v>3133</v>
      </c>
      <c r="G37" s="24">
        <f ca="1">(SUMIF($6:$6,F37,$7:$7)-SUMIF($6:$6,$F$23,$7:$7)+100)/100</f>
        <v>1</v>
      </c>
      <c r="H37" s="721" t="s">
        <v>3167</v>
      </c>
      <c r="I37" s="24">
        <f ca="1">(SUMIF($8:$8,H37,$9:$9)-SUMIF($8:$8,$H$23,$9:$9)+100)/100</f>
        <v>1</v>
      </c>
      <c r="J37" s="721"/>
      <c r="K37" s="24">
        <f ca="1">(SUMIF($10:$10,J37,$11:$11)-SUMIF($10:$10,$J$23,$11:$11)+100)/100</f>
        <v>1</v>
      </c>
      <c r="L37" s="721"/>
      <c r="M37" s="24">
        <f ca="1">(SUMIF($12:$12,L37,$13:$13)-SUMIF($12:$12,$L$23,$13:$13)+100)/100</f>
        <v>1</v>
      </c>
      <c r="N37" s="721"/>
      <c r="O37" s="24">
        <f ca="1">(SUMIF($14:$14,N37,$15:$15)-SUMIF($14:$14,$N$23,$15:$15)+100)/100</f>
        <v>1</v>
      </c>
      <c r="P37" s="721"/>
      <c r="Q37" s="24">
        <f ca="1">(SUMIF($16:$16,P37,$17:$17)-SUMIF($16:$16,$P$23,$17:$17)+100)/100</f>
        <v>1</v>
      </c>
      <c r="R37" s="717">
        <f ca="1">IF(B37="",0,ROUND($R$23*C37*E37*G37*I37*K37*M37*O37*Q37,0))</f>
        <v>87584</v>
      </c>
      <c r="S37" s="362">
        <f ca="1">ROUND(R37*B37/10000,0)</f>
        <v>4519</v>
      </c>
      <c r="T37" s="2964" t="s">
        <v>3184</v>
      </c>
      <c r="U37">
        <v>36</v>
      </c>
    </row>
    <row r="38" spans="1:21">
      <c r="A38" s="2935" t="s">
        <v>3084</v>
      </c>
      <c r="B38" s="2936">
        <v>514.79999999999995</v>
      </c>
      <c r="C38" s="24">
        <f ca="1">IF(B38="",1,(LOOKUP(B38,$3:$3,$4:$4)-LOOKUP($B$23,$3:$3,$4:$4)+100)/100)</f>
        <v>1</v>
      </c>
      <c r="D38" s="721" t="s">
        <v>3170</v>
      </c>
      <c r="E38" s="24" t="e">
        <f>(SUMIF($5:$5,D38,#REF!)-SUMIF($5:$5,$D$23,#REF!)+100)/100</f>
        <v>#REF!</v>
      </c>
      <c r="F38" s="721" t="s">
        <v>3133</v>
      </c>
      <c r="G38" s="24">
        <f ca="1">(SUMIF($6:$6,F38,$7:$7)-SUMIF($6:$6,$F$23,$7:$7)+100)/100</f>
        <v>1</v>
      </c>
      <c r="H38" s="721" t="s">
        <v>3167</v>
      </c>
      <c r="I38" s="24">
        <f ca="1">(SUMIF($8:$8,H38,$9:$9)-SUMIF($8:$8,$H$23,$9:$9)+100)/100</f>
        <v>1</v>
      </c>
      <c r="J38" s="721"/>
      <c r="K38" s="24">
        <f ca="1">(SUMIF($10:$10,J38,$11:$11)-SUMIF($10:$10,$J$23,$11:$11)+100)/100</f>
        <v>1</v>
      </c>
      <c r="L38" s="721"/>
      <c r="M38" s="24">
        <f ca="1">(SUMIF($12:$12,L38,$13:$13)-SUMIF($12:$12,$L$23,$13:$13)+100)/100</f>
        <v>1</v>
      </c>
      <c r="N38" s="721"/>
      <c r="O38" s="24">
        <f ca="1">(SUMIF($14:$14,N38,$15:$15)-SUMIF($14:$14,$N$23,$15:$15)+100)/100</f>
        <v>1</v>
      </c>
      <c r="P38" s="721"/>
      <c r="Q38" s="24">
        <f ca="1">(SUMIF($16:$16,P38,$17:$17)-SUMIF($16:$16,$P$23,$17:$17)+100)/100</f>
        <v>1</v>
      </c>
      <c r="R38" s="717">
        <f ca="1">IF(B38="",0,ROUND($R$23*C38*E38*G38*I38*K38*M38*O38*Q38,0))</f>
        <v>87584</v>
      </c>
      <c r="S38" s="362">
        <f ca="1">ROUND(R38*B38/10000,0)</f>
        <v>4509</v>
      </c>
      <c r="T38" s="2964" t="s">
        <v>3184</v>
      </c>
      <c r="U38">
        <v>37</v>
      </c>
    </row>
    <row r="39" spans="1:21">
      <c r="A39" s="2935" t="s">
        <v>3085</v>
      </c>
      <c r="B39" s="2936">
        <v>515.91</v>
      </c>
      <c r="C39" s="24">
        <f ca="1">IF(B39="",1,(LOOKUP(B39,$3:$3,$4:$4)-LOOKUP($B$23,$3:$3,$4:$4)+100)/100)</f>
        <v>1</v>
      </c>
      <c r="D39" s="721" t="s">
        <v>3170</v>
      </c>
      <c r="E39" s="24" t="e">
        <f>(SUMIF($5:$5,D39,#REF!)-SUMIF($5:$5,$D$23,#REF!)+100)/100</f>
        <v>#REF!</v>
      </c>
      <c r="F39" s="721" t="s">
        <v>3133</v>
      </c>
      <c r="G39" s="24">
        <f ca="1">(SUMIF($6:$6,F39,$7:$7)-SUMIF($6:$6,$F$23,$7:$7)+100)/100</f>
        <v>1</v>
      </c>
      <c r="H39" s="721" t="s">
        <v>3167</v>
      </c>
      <c r="I39" s="24">
        <f ca="1">(SUMIF($8:$8,H39,$9:$9)-SUMIF($8:$8,$H$23,$9:$9)+100)/100</f>
        <v>1</v>
      </c>
      <c r="J39" s="721"/>
      <c r="K39" s="24">
        <f ca="1">(SUMIF($10:$10,J39,$11:$11)-SUMIF($10:$10,$J$23,$11:$11)+100)/100</f>
        <v>1</v>
      </c>
      <c r="L39" s="721"/>
      <c r="M39" s="24">
        <f ca="1">(SUMIF($12:$12,L39,$13:$13)-SUMIF($12:$12,$L$23,$13:$13)+100)/100</f>
        <v>1</v>
      </c>
      <c r="N39" s="721"/>
      <c r="O39" s="24">
        <f ca="1">(SUMIF($14:$14,N39,$15:$15)-SUMIF($14:$14,$N$23,$15:$15)+100)/100</f>
        <v>1</v>
      </c>
      <c r="P39" s="721"/>
      <c r="Q39" s="24">
        <f ca="1">(SUMIF($16:$16,P39,$17:$17)-SUMIF($16:$16,$P$23,$17:$17)+100)/100</f>
        <v>1</v>
      </c>
      <c r="R39" s="717">
        <f ca="1">IF(B39="",0,ROUND($R$23*C39*E39*G39*I39*K39*M39*O39*Q39,0))</f>
        <v>87584</v>
      </c>
      <c r="S39" s="362">
        <f ca="1">ROUND(R39*B39/10000,0)</f>
        <v>4519</v>
      </c>
      <c r="T39" s="2964" t="s">
        <v>3184</v>
      </c>
      <c r="U39">
        <v>38</v>
      </c>
    </row>
    <row r="40" spans="1:21">
      <c r="A40" s="2937" t="s">
        <v>3092</v>
      </c>
      <c r="B40" s="2937">
        <v>453.31</v>
      </c>
      <c r="C40" s="24">
        <f ca="1">IF(B40="",1,(LOOKUP(B40,$3:$3,$4:$4)-LOOKUP($B$23,$3:$3,$4:$4)+100)/100)</f>
        <v>1</v>
      </c>
      <c r="D40" s="721" t="s">
        <v>3158</v>
      </c>
      <c r="E40" s="24" t="e">
        <f>(SUMIF($5:$5,D40,#REF!)-SUMIF($5:$5,$D$23,#REF!)+100)/100</f>
        <v>#REF!</v>
      </c>
      <c r="F40" s="721" t="s">
        <v>3133</v>
      </c>
      <c r="G40" s="24">
        <f ca="1">(SUMIF($6:$6,F40,$7:$7)-SUMIF($6:$6,$F$23,$7:$7)+100)/100</f>
        <v>1</v>
      </c>
      <c r="H40" s="721" t="s">
        <v>3167</v>
      </c>
      <c r="I40" s="24">
        <f ca="1">(SUMIF($8:$8,H40,$9:$9)-SUMIF($8:$8,$H$23,$9:$9)+100)/100</f>
        <v>1</v>
      </c>
      <c r="J40" s="721"/>
      <c r="K40" s="24">
        <f ca="1">(SUMIF($10:$10,J40,$11:$11)-SUMIF($10:$10,$J$23,$11:$11)+100)/100</f>
        <v>1</v>
      </c>
      <c r="L40" s="721"/>
      <c r="M40" s="24">
        <f ca="1">(SUMIF($12:$12,L40,$13:$13)-SUMIF($12:$12,$L$23,$13:$13)+100)/100</f>
        <v>1</v>
      </c>
      <c r="N40" s="721"/>
      <c r="O40" s="24">
        <f ca="1">(SUMIF($14:$14,N40,$15:$15)-SUMIF($14:$14,$N$23,$15:$15)+100)/100</f>
        <v>1</v>
      </c>
      <c r="P40" s="721"/>
      <c r="Q40" s="24">
        <f ca="1">(SUMIF($16:$16,P40,$17:$17)-SUMIF($16:$16,$P$23,$17:$17)+100)/100</f>
        <v>1</v>
      </c>
      <c r="R40" s="717">
        <f ca="1">IF(B40="",0,ROUND($R$23*C40*E40*G40*I40*K40*M40*O40*Q40,0))</f>
        <v>79622</v>
      </c>
      <c r="S40" s="362">
        <f ca="1">ROUND(R40*B40/10000,0)</f>
        <v>3609</v>
      </c>
      <c r="T40" s="2964" t="s">
        <v>3185</v>
      </c>
      <c r="U40">
        <v>39</v>
      </c>
    </row>
    <row r="41" spans="1:21">
      <c r="A41" s="2937" t="s">
        <v>3093</v>
      </c>
      <c r="B41" s="2937">
        <v>447.49</v>
      </c>
      <c r="C41" s="24">
        <f ca="1">IF(B41="",1,(LOOKUP(B41,$3:$3,$4:$4)-LOOKUP($B$23,$3:$3,$4:$4)+100)/100)</f>
        <v>1</v>
      </c>
      <c r="D41" s="721" t="s">
        <v>3158</v>
      </c>
      <c r="E41" s="24" t="e">
        <f>(SUMIF($5:$5,D41,#REF!)-SUMIF($5:$5,$D$23,#REF!)+100)/100</f>
        <v>#REF!</v>
      </c>
      <c r="F41" s="721" t="s">
        <v>3133</v>
      </c>
      <c r="G41" s="24">
        <f ca="1">(SUMIF($6:$6,F41,$7:$7)-SUMIF($6:$6,$F$23,$7:$7)+100)/100</f>
        <v>1</v>
      </c>
      <c r="H41" s="721" t="s">
        <v>3167</v>
      </c>
      <c r="I41" s="24">
        <f ca="1">(SUMIF($8:$8,H41,$9:$9)-SUMIF($8:$8,$H$23,$9:$9)+100)/100</f>
        <v>1</v>
      </c>
      <c r="J41" s="721"/>
      <c r="K41" s="24">
        <f ca="1">(SUMIF($10:$10,J41,$11:$11)-SUMIF($10:$10,$J$23,$11:$11)+100)/100</f>
        <v>1</v>
      </c>
      <c r="L41" s="721"/>
      <c r="M41" s="24">
        <f ca="1">(SUMIF($12:$12,L41,$13:$13)-SUMIF($12:$12,$L$23,$13:$13)+100)/100</f>
        <v>1</v>
      </c>
      <c r="N41" s="721"/>
      <c r="O41" s="24">
        <f ca="1">(SUMIF($14:$14,N41,$15:$15)-SUMIF($14:$14,$N$23,$15:$15)+100)/100</f>
        <v>1</v>
      </c>
      <c r="P41" s="721"/>
      <c r="Q41" s="24">
        <f ca="1">(SUMIF($16:$16,P41,$17:$17)-SUMIF($16:$16,$P$23,$17:$17)+100)/100</f>
        <v>1</v>
      </c>
      <c r="R41" s="717">
        <f ca="1">IF(B41="",0,ROUND($R$23*C41*E41*G41*I41*K41*M41*O41*Q41,0))</f>
        <v>79622</v>
      </c>
      <c r="S41" s="362">
        <f ca="1">ROUND(R41*B41/10000,0)</f>
        <v>3563</v>
      </c>
      <c r="T41" s="2964" t="s">
        <v>3185</v>
      </c>
      <c r="U41">
        <v>40</v>
      </c>
    </row>
    <row r="42" spans="1:21">
      <c r="A42" s="2937" t="s">
        <v>3094</v>
      </c>
      <c r="B42" s="2938">
        <v>447.82</v>
      </c>
      <c r="C42" s="24">
        <f ca="1">IF(B42="",1,(LOOKUP(B42,$3:$3,$4:$4)-LOOKUP($B$23,$3:$3,$4:$4)+100)/100)</f>
        <v>1</v>
      </c>
      <c r="D42" s="721" t="s">
        <v>3158</v>
      </c>
      <c r="E42" s="24" t="e">
        <f>(SUMIF($5:$5,D42,#REF!)-SUMIF($5:$5,$D$23,#REF!)+100)/100</f>
        <v>#REF!</v>
      </c>
      <c r="F42" s="721" t="s">
        <v>3133</v>
      </c>
      <c r="G42" s="24">
        <f ca="1">(SUMIF($6:$6,F42,$7:$7)-SUMIF($6:$6,$F$23,$7:$7)+100)/100</f>
        <v>1</v>
      </c>
      <c r="H42" s="721" t="s">
        <v>3167</v>
      </c>
      <c r="I42" s="24">
        <f ca="1">(SUMIF($8:$8,H42,$9:$9)-SUMIF($8:$8,$H$23,$9:$9)+100)/100</f>
        <v>1</v>
      </c>
      <c r="J42" s="721"/>
      <c r="K42" s="24">
        <f ca="1">(SUMIF($10:$10,J42,$11:$11)-SUMIF($10:$10,$J$23,$11:$11)+100)/100</f>
        <v>1</v>
      </c>
      <c r="L42" s="721"/>
      <c r="M42" s="24">
        <f ca="1">(SUMIF($12:$12,L42,$13:$13)-SUMIF($12:$12,$L$23,$13:$13)+100)/100</f>
        <v>1</v>
      </c>
      <c r="N42" s="721"/>
      <c r="O42" s="24">
        <f ca="1">(SUMIF($14:$14,N42,$15:$15)-SUMIF($14:$14,$N$23,$15:$15)+100)/100</f>
        <v>1</v>
      </c>
      <c r="P42" s="721"/>
      <c r="Q42" s="24">
        <f ca="1">(SUMIF($16:$16,P42,$17:$17)-SUMIF($16:$16,$P$23,$17:$17)+100)/100</f>
        <v>1</v>
      </c>
      <c r="R42" s="717">
        <f ca="1">IF(B42="",0,ROUND($R$23*C42*E42*G42*I42*K42*M42*O42*Q42,0))</f>
        <v>79622</v>
      </c>
      <c r="S42" s="362">
        <f ca="1">ROUND(R42*B42/10000,0)</f>
        <v>3566</v>
      </c>
      <c r="T42" s="2964" t="s">
        <v>3185</v>
      </c>
      <c r="U42">
        <v>41</v>
      </c>
    </row>
    <row r="43" spans="1:21">
      <c r="A43" s="2937" t="s">
        <v>3095</v>
      </c>
      <c r="B43" s="2938">
        <v>447.82</v>
      </c>
      <c r="C43" s="24">
        <f ca="1">IF(B43="",1,(LOOKUP(B43,$3:$3,$4:$4)-LOOKUP($B$23,$3:$3,$4:$4)+100)/100)</f>
        <v>1</v>
      </c>
      <c r="D43" s="721" t="s">
        <v>3158</v>
      </c>
      <c r="E43" s="24" t="e">
        <f>(SUMIF($5:$5,D43,#REF!)-SUMIF($5:$5,$D$23,#REF!)+100)/100</f>
        <v>#REF!</v>
      </c>
      <c r="F43" s="721" t="s">
        <v>3133</v>
      </c>
      <c r="G43" s="24">
        <f ca="1">(SUMIF($6:$6,F43,$7:$7)-SUMIF($6:$6,$F$23,$7:$7)+100)/100</f>
        <v>1</v>
      </c>
      <c r="H43" s="721" t="s">
        <v>3167</v>
      </c>
      <c r="I43" s="24">
        <f ca="1">(SUMIF($8:$8,H43,$9:$9)-SUMIF($8:$8,$H$23,$9:$9)+100)/100</f>
        <v>1</v>
      </c>
      <c r="J43" s="721"/>
      <c r="K43" s="24">
        <f ca="1">(SUMIF($10:$10,J43,$11:$11)-SUMIF($10:$10,$J$23,$11:$11)+100)/100</f>
        <v>1</v>
      </c>
      <c r="L43" s="721"/>
      <c r="M43" s="24">
        <f ca="1">(SUMIF($12:$12,L43,$13:$13)-SUMIF($12:$12,$L$23,$13:$13)+100)/100</f>
        <v>1</v>
      </c>
      <c r="N43" s="721"/>
      <c r="O43" s="24">
        <f ca="1">(SUMIF($14:$14,N43,$15:$15)-SUMIF($14:$14,$N$23,$15:$15)+100)/100</f>
        <v>1</v>
      </c>
      <c r="P43" s="721"/>
      <c r="Q43" s="24">
        <f ca="1">(SUMIF($16:$16,P43,$17:$17)-SUMIF($16:$16,$P$23,$17:$17)+100)/100</f>
        <v>1</v>
      </c>
      <c r="R43" s="717">
        <f ca="1">IF(B43="",0,ROUND($R$23*C43*E43*G43*I43*K43*M43*O43*Q43,0))</f>
        <v>79622</v>
      </c>
      <c r="S43" s="362">
        <f ca="1">ROUND(R43*B43/10000,0)</f>
        <v>3566</v>
      </c>
      <c r="T43" s="2964" t="s">
        <v>3185</v>
      </c>
      <c r="U43">
        <v>42</v>
      </c>
    </row>
    <row r="44" spans="1:21">
      <c r="A44" s="2937" t="s">
        <v>3096</v>
      </c>
      <c r="B44" s="2938">
        <v>453.64</v>
      </c>
      <c r="C44" s="24">
        <f ca="1">IF(B44="",1,(LOOKUP(B44,$3:$3,$4:$4)-LOOKUP($B$23,$3:$3,$4:$4)+100)/100)</f>
        <v>1</v>
      </c>
      <c r="D44" s="721" t="s">
        <v>3158</v>
      </c>
      <c r="E44" s="24" t="e">
        <f>(SUMIF($5:$5,D44,#REF!)-SUMIF($5:$5,$D$23,#REF!)+100)/100</f>
        <v>#REF!</v>
      </c>
      <c r="F44" s="721" t="s">
        <v>3133</v>
      </c>
      <c r="G44" s="24">
        <f ca="1">(SUMIF($6:$6,F44,$7:$7)-SUMIF($6:$6,$F$23,$7:$7)+100)/100</f>
        <v>1</v>
      </c>
      <c r="H44" s="721" t="s">
        <v>3167</v>
      </c>
      <c r="I44" s="24">
        <f ca="1">(SUMIF($8:$8,H44,$9:$9)-SUMIF($8:$8,$H$23,$9:$9)+100)/100</f>
        <v>1</v>
      </c>
      <c r="J44" s="721"/>
      <c r="K44" s="24">
        <f ca="1">(SUMIF($10:$10,J44,$11:$11)-SUMIF($10:$10,$J$23,$11:$11)+100)/100</f>
        <v>1</v>
      </c>
      <c r="L44" s="721"/>
      <c r="M44" s="24">
        <f ca="1">(SUMIF($12:$12,L44,$13:$13)-SUMIF($12:$12,$L$23,$13:$13)+100)/100</f>
        <v>1</v>
      </c>
      <c r="N44" s="721"/>
      <c r="O44" s="24">
        <f ca="1">(SUMIF($14:$14,N44,$15:$15)-SUMIF($14:$14,$N$23,$15:$15)+100)/100</f>
        <v>1</v>
      </c>
      <c r="P44" s="721"/>
      <c r="Q44" s="24">
        <f ca="1">(SUMIF($16:$16,P44,$17:$17)-SUMIF($16:$16,$P$23,$17:$17)+100)/100</f>
        <v>1</v>
      </c>
      <c r="R44" s="717">
        <f ca="1">IF(B44="",0,ROUND($R$23*C44*E44*G44*I44*K44*M44*O44*Q44,0))</f>
        <v>79622</v>
      </c>
      <c r="S44" s="362">
        <f ca="1">ROUND(R44*B44/10000,0)</f>
        <v>3612</v>
      </c>
      <c r="T44" s="2964" t="s">
        <v>3185</v>
      </c>
      <c r="U44">
        <v>43</v>
      </c>
    </row>
    <row r="45" spans="1:21">
      <c r="A45" s="2937" t="s">
        <v>3097</v>
      </c>
      <c r="B45" s="2938">
        <v>447.82</v>
      </c>
      <c r="C45" s="24">
        <f ca="1">IF(B45="",1,(LOOKUP(B45,$3:$3,$4:$4)-LOOKUP($B$23,$3:$3,$4:$4)+100)/100)</f>
        <v>1</v>
      </c>
      <c r="D45" s="721" t="s">
        <v>3158</v>
      </c>
      <c r="E45" s="24" t="e">
        <f>(SUMIF($5:$5,D45,#REF!)-SUMIF($5:$5,$D$23,#REF!)+100)/100</f>
        <v>#REF!</v>
      </c>
      <c r="F45" s="721" t="s">
        <v>3133</v>
      </c>
      <c r="G45" s="24">
        <f ca="1">(SUMIF($6:$6,F45,$7:$7)-SUMIF($6:$6,$F$23,$7:$7)+100)/100</f>
        <v>1</v>
      </c>
      <c r="H45" s="721" t="s">
        <v>3167</v>
      </c>
      <c r="I45" s="24">
        <f ca="1">(SUMIF($8:$8,H45,$9:$9)-SUMIF($8:$8,$H$23,$9:$9)+100)/100</f>
        <v>1</v>
      </c>
      <c r="J45" s="721"/>
      <c r="K45" s="24">
        <f ca="1">(SUMIF($10:$10,J45,$11:$11)-SUMIF($10:$10,$J$23,$11:$11)+100)/100</f>
        <v>1</v>
      </c>
      <c r="L45" s="721"/>
      <c r="M45" s="24">
        <f ca="1">(SUMIF($12:$12,L45,$13:$13)-SUMIF($12:$12,$L$23,$13:$13)+100)/100</f>
        <v>1</v>
      </c>
      <c r="N45" s="721"/>
      <c r="O45" s="24">
        <f ca="1">(SUMIF($14:$14,N45,$15:$15)-SUMIF($14:$14,$N$23,$15:$15)+100)/100</f>
        <v>1</v>
      </c>
      <c r="P45" s="721"/>
      <c r="Q45" s="24">
        <f ca="1">(SUMIF($16:$16,P45,$17:$17)-SUMIF($16:$16,$P$23,$17:$17)+100)/100</f>
        <v>1</v>
      </c>
      <c r="R45" s="717">
        <f ca="1">IF(B45="",0,ROUND($R$23*C45*E45*G45*I45*K45*M45*O45*Q45,0))</f>
        <v>79622</v>
      </c>
      <c r="S45" s="362">
        <f ca="1">ROUND(R45*B45/10000,0)</f>
        <v>3566</v>
      </c>
      <c r="T45" s="2964" t="s">
        <v>3185</v>
      </c>
      <c r="U45">
        <v>44</v>
      </c>
    </row>
    <row r="46" spans="1:21">
      <c r="A46" s="2937" t="s">
        <v>3098</v>
      </c>
      <c r="B46" s="2938">
        <v>453.64</v>
      </c>
      <c r="C46" s="24">
        <f ca="1">IF(B46="",1,(LOOKUP(B46,$3:$3,$4:$4)-LOOKUP($B$23,$3:$3,$4:$4)+100)/100)</f>
        <v>1</v>
      </c>
      <c r="D46" s="721" t="s">
        <v>3163</v>
      </c>
      <c r="E46" s="24" t="e">
        <f>(SUMIF($5:$5,D46,#REF!)-SUMIF($5:$5,$D$23,#REF!)+100)/100</f>
        <v>#REF!</v>
      </c>
      <c r="F46" s="721" t="s">
        <v>3133</v>
      </c>
      <c r="G46" s="24">
        <f ca="1">(SUMIF($6:$6,F46,$7:$7)-SUMIF($6:$6,$F$23,$7:$7)+100)/100</f>
        <v>1</v>
      </c>
      <c r="H46" s="721" t="s">
        <v>3167</v>
      </c>
      <c r="I46" s="24">
        <f ca="1">(SUMIF($8:$8,H46,$9:$9)-SUMIF($8:$8,$H$23,$9:$9)+100)/100</f>
        <v>1</v>
      </c>
      <c r="J46" s="721"/>
      <c r="K46" s="24">
        <f ca="1">(SUMIF($10:$10,J46,$11:$11)-SUMIF($10:$10,$J$23,$11:$11)+100)/100</f>
        <v>1</v>
      </c>
      <c r="L46" s="721"/>
      <c r="M46" s="24">
        <f ca="1">(SUMIF($12:$12,L46,$13:$13)-SUMIF($12:$12,$L$23,$13:$13)+100)/100</f>
        <v>1</v>
      </c>
      <c r="N46" s="721"/>
      <c r="O46" s="24">
        <f ca="1">(SUMIF($14:$14,N46,$15:$15)-SUMIF($14:$14,$N$23,$15:$15)+100)/100</f>
        <v>1</v>
      </c>
      <c r="P46" s="721"/>
      <c r="Q46" s="24">
        <f ca="1">(SUMIF($16:$16,P46,$17:$17)-SUMIF($16:$16,$P$23,$17:$17)+100)/100</f>
        <v>1</v>
      </c>
      <c r="R46" s="717">
        <f ca="1">IF(B46="",0,ROUND($R$23*C46*E46*G46*I46*K46*M46*O46*Q46,0))</f>
        <v>83603</v>
      </c>
      <c r="S46" s="362">
        <f ca="1">ROUND(R46*B46/10000,0)</f>
        <v>3793</v>
      </c>
      <c r="T46" s="2964" t="s">
        <v>3185</v>
      </c>
      <c r="U46">
        <v>45</v>
      </c>
    </row>
    <row r="47" spans="1:21">
      <c r="A47" s="2937" t="s">
        <v>3099</v>
      </c>
      <c r="B47" s="2937">
        <v>453.64</v>
      </c>
      <c r="C47" s="24">
        <f ca="1">IF(B47="",1,(LOOKUP(B47,$3:$3,$4:$4)-LOOKUP($B$23,$3:$3,$4:$4)+100)/100)</f>
        <v>1</v>
      </c>
      <c r="D47" s="721" t="s">
        <v>3163</v>
      </c>
      <c r="E47" s="24" t="e">
        <f>(SUMIF($5:$5,D47,#REF!)-SUMIF($5:$5,$D$23,#REF!)+100)/100</f>
        <v>#REF!</v>
      </c>
      <c r="F47" s="721" t="s">
        <v>3133</v>
      </c>
      <c r="G47" s="24">
        <f ca="1">(SUMIF($6:$6,F47,$7:$7)-SUMIF($6:$6,$F$23,$7:$7)+100)/100</f>
        <v>1</v>
      </c>
      <c r="H47" s="721" t="s">
        <v>3167</v>
      </c>
      <c r="I47" s="24">
        <f ca="1">(SUMIF($8:$8,H47,$9:$9)-SUMIF($8:$8,$H$23,$9:$9)+100)/100</f>
        <v>1</v>
      </c>
      <c r="J47" s="721"/>
      <c r="K47" s="24">
        <f ca="1">(SUMIF($10:$10,J47,$11:$11)-SUMIF($10:$10,$J$23,$11:$11)+100)/100</f>
        <v>1</v>
      </c>
      <c r="L47" s="721"/>
      <c r="M47" s="24">
        <f ca="1">(SUMIF($12:$12,L47,$13:$13)-SUMIF($12:$12,$L$23,$13:$13)+100)/100</f>
        <v>1</v>
      </c>
      <c r="N47" s="721"/>
      <c r="O47" s="24">
        <f ca="1">(SUMIF($14:$14,N47,$15:$15)-SUMIF($14:$14,$N$23,$15:$15)+100)/100</f>
        <v>1</v>
      </c>
      <c r="P47" s="721"/>
      <c r="Q47" s="24">
        <f ca="1">(SUMIF($16:$16,P47,$17:$17)-SUMIF($16:$16,$P$23,$17:$17)+100)/100</f>
        <v>1</v>
      </c>
      <c r="R47" s="717">
        <f ca="1">IF(B47="",0,ROUND($R$23*C47*E47*G47*I47*K47*M47*O47*Q47,0))</f>
        <v>83603</v>
      </c>
      <c r="S47" s="362">
        <f ca="1">ROUND(R47*B47/10000,0)</f>
        <v>3793</v>
      </c>
      <c r="T47" s="2964" t="s">
        <v>3185</v>
      </c>
      <c r="U47">
        <v>46</v>
      </c>
    </row>
    <row r="48" spans="1:21">
      <c r="A48" s="2937" t="s">
        <v>3100</v>
      </c>
      <c r="B48" s="2937">
        <v>453.64</v>
      </c>
      <c r="C48" s="24">
        <f ca="1">IF(B48="",1,(LOOKUP(B48,$3:$3,$4:$4)-LOOKUP($B$23,$3:$3,$4:$4)+100)/100)</f>
        <v>1</v>
      </c>
      <c r="D48" s="721" t="s">
        <v>3163</v>
      </c>
      <c r="E48" s="24" t="e">
        <f>(SUMIF($5:$5,D48,#REF!)-SUMIF($5:$5,$D$23,#REF!)+100)/100</f>
        <v>#REF!</v>
      </c>
      <c r="F48" s="721" t="s">
        <v>3133</v>
      </c>
      <c r="G48" s="24">
        <f ca="1">(SUMIF($6:$6,F48,$7:$7)-SUMIF($6:$6,$F$23,$7:$7)+100)/100</f>
        <v>1</v>
      </c>
      <c r="H48" s="721" t="s">
        <v>3167</v>
      </c>
      <c r="I48" s="24">
        <f ca="1">(SUMIF($8:$8,H48,$9:$9)-SUMIF($8:$8,$H$23,$9:$9)+100)/100</f>
        <v>1</v>
      </c>
      <c r="J48" s="721"/>
      <c r="K48" s="24">
        <f ca="1">(SUMIF($10:$10,J48,$11:$11)-SUMIF($10:$10,$J$23,$11:$11)+100)/100</f>
        <v>1</v>
      </c>
      <c r="L48" s="721"/>
      <c r="M48" s="24">
        <f ca="1">(SUMIF($12:$12,L48,$13:$13)-SUMIF($12:$12,$L$23,$13:$13)+100)/100</f>
        <v>1</v>
      </c>
      <c r="N48" s="721"/>
      <c r="O48" s="24">
        <f ca="1">(SUMIF($14:$14,N48,$15:$15)-SUMIF($14:$14,$N$23,$15:$15)+100)/100</f>
        <v>1</v>
      </c>
      <c r="P48" s="721"/>
      <c r="Q48" s="24">
        <f ca="1">(SUMIF($16:$16,P48,$17:$17)-SUMIF($16:$16,$P$23,$17:$17)+100)/100</f>
        <v>1</v>
      </c>
      <c r="R48" s="717">
        <f ca="1">IF(B48="",0,ROUND($R$23*C48*E48*G48*I48*K48*M48*O48*Q48,0))</f>
        <v>83603</v>
      </c>
      <c r="S48" s="362">
        <f ca="1">ROUND(R48*B48/10000,0)</f>
        <v>3793</v>
      </c>
      <c r="T48" s="2964" t="s">
        <v>3185</v>
      </c>
      <c r="U48">
        <v>47</v>
      </c>
    </row>
    <row r="49" spans="1:21">
      <c r="A49" s="2937" t="s">
        <v>3101</v>
      </c>
      <c r="B49" s="2937">
        <v>447.82</v>
      </c>
      <c r="C49" s="24">
        <f ca="1">IF(B49="",1,(LOOKUP(B49,$3:$3,$4:$4)-LOOKUP($B$23,$3:$3,$4:$4)+100)/100)</f>
        <v>1</v>
      </c>
      <c r="D49" s="721" t="s">
        <v>3163</v>
      </c>
      <c r="E49" s="24" t="e">
        <f>(SUMIF($5:$5,D49,#REF!)-SUMIF($5:$5,$D$23,#REF!)+100)/100</f>
        <v>#REF!</v>
      </c>
      <c r="F49" s="721" t="s">
        <v>3133</v>
      </c>
      <c r="G49" s="24">
        <f ca="1">(SUMIF($6:$6,F49,$7:$7)-SUMIF($6:$6,$F$23,$7:$7)+100)/100</f>
        <v>1</v>
      </c>
      <c r="H49" s="721" t="s">
        <v>3167</v>
      </c>
      <c r="I49" s="24">
        <f ca="1">(SUMIF($8:$8,H49,$9:$9)-SUMIF($8:$8,$H$23,$9:$9)+100)/100</f>
        <v>1</v>
      </c>
      <c r="J49" s="721"/>
      <c r="K49" s="24">
        <f ca="1">(SUMIF($10:$10,J49,$11:$11)-SUMIF($10:$10,$J$23,$11:$11)+100)/100</f>
        <v>1</v>
      </c>
      <c r="L49" s="721"/>
      <c r="M49" s="24">
        <f ca="1">(SUMIF($12:$12,L49,$13:$13)-SUMIF($12:$12,$L$23,$13:$13)+100)/100</f>
        <v>1</v>
      </c>
      <c r="N49" s="721"/>
      <c r="O49" s="24">
        <f ca="1">(SUMIF($14:$14,N49,$15:$15)-SUMIF($14:$14,$N$23,$15:$15)+100)/100</f>
        <v>1</v>
      </c>
      <c r="P49" s="721"/>
      <c r="Q49" s="24">
        <f ca="1">(SUMIF($16:$16,P49,$17:$17)-SUMIF($16:$16,$P$23,$17:$17)+100)/100</f>
        <v>1</v>
      </c>
      <c r="R49" s="717">
        <f ca="1">IF(B49="",0,ROUND($R$23*C49*E49*G49*I49*K49*M49*O49*Q49,0))</f>
        <v>83603</v>
      </c>
      <c r="S49" s="362">
        <f ca="1">ROUND(R49*B49/10000,0)</f>
        <v>3744</v>
      </c>
      <c r="T49" s="2964" t="s">
        <v>3185</v>
      </c>
      <c r="U49">
        <v>48</v>
      </c>
    </row>
    <row r="50" spans="1:21">
      <c r="A50" s="2937" t="s">
        <v>3102</v>
      </c>
      <c r="B50" s="2937">
        <v>453.64</v>
      </c>
      <c r="C50" s="24">
        <f ca="1">IF(B50="",1,(LOOKUP(B50,$3:$3,$4:$4)-LOOKUP($B$23,$3:$3,$4:$4)+100)/100)</f>
        <v>1</v>
      </c>
      <c r="D50" s="721" t="s">
        <v>3163</v>
      </c>
      <c r="E50" s="24" t="e">
        <f>(SUMIF($5:$5,D50,#REF!)-SUMIF($5:$5,$D$23,#REF!)+100)/100</f>
        <v>#REF!</v>
      </c>
      <c r="F50" s="721" t="s">
        <v>3133</v>
      </c>
      <c r="G50" s="24">
        <f ca="1">(SUMIF($6:$6,F50,$7:$7)-SUMIF($6:$6,$F$23,$7:$7)+100)/100</f>
        <v>1</v>
      </c>
      <c r="H50" s="721" t="s">
        <v>3167</v>
      </c>
      <c r="I50" s="24">
        <f ca="1">(SUMIF($8:$8,H50,$9:$9)-SUMIF($8:$8,$H$23,$9:$9)+100)/100</f>
        <v>1</v>
      </c>
      <c r="J50" s="721"/>
      <c r="K50" s="24">
        <f ca="1">(SUMIF($10:$10,J50,$11:$11)-SUMIF($10:$10,$J$23,$11:$11)+100)/100</f>
        <v>1</v>
      </c>
      <c r="L50" s="721"/>
      <c r="M50" s="24">
        <f ca="1">(SUMIF($12:$12,L50,$13:$13)-SUMIF($12:$12,$L$23,$13:$13)+100)/100</f>
        <v>1</v>
      </c>
      <c r="N50" s="721"/>
      <c r="O50" s="24">
        <f ca="1">(SUMIF($14:$14,N50,$15:$15)-SUMIF($14:$14,$N$23,$15:$15)+100)/100</f>
        <v>1</v>
      </c>
      <c r="P50" s="721"/>
      <c r="Q50" s="24">
        <f ca="1">(SUMIF($16:$16,P50,$17:$17)-SUMIF($16:$16,$P$23,$17:$17)+100)/100</f>
        <v>1</v>
      </c>
      <c r="R50" s="717">
        <f ca="1">IF(B50="",0,ROUND($R$23*C50*E50*G50*I50*K50*M50*O50*Q50,0))</f>
        <v>83603</v>
      </c>
      <c r="S50" s="362">
        <f ca="1">ROUND(R50*B50/10000,0)</f>
        <v>3793</v>
      </c>
      <c r="T50" s="2964" t="s">
        <v>3185</v>
      </c>
      <c r="U50">
        <v>49</v>
      </c>
    </row>
    <row r="51" spans="1:21">
      <c r="A51" s="2937" t="s">
        <v>3103</v>
      </c>
      <c r="B51" s="2937">
        <v>447.82</v>
      </c>
      <c r="C51" s="24">
        <f ca="1">IF(B51="",1,(LOOKUP(B51,$3:$3,$4:$4)-LOOKUP($B$23,$3:$3,$4:$4)+100)/100)</f>
        <v>1</v>
      </c>
      <c r="D51" s="721" t="s">
        <v>3163</v>
      </c>
      <c r="E51" s="24" t="e">
        <f>(SUMIF($5:$5,D51,#REF!)-SUMIF($5:$5,$D$23,#REF!)+100)/100</f>
        <v>#REF!</v>
      </c>
      <c r="F51" s="721" t="s">
        <v>3133</v>
      </c>
      <c r="G51" s="24">
        <f ca="1">(SUMIF($6:$6,F51,$7:$7)-SUMIF($6:$6,$F$23,$7:$7)+100)/100</f>
        <v>1</v>
      </c>
      <c r="H51" s="721" t="s">
        <v>3167</v>
      </c>
      <c r="I51" s="24">
        <f ca="1">(SUMIF($8:$8,H51,$9:$9)-SUMIF($8:$8,$H$23,$9:$9)+100)/100</f>
        <v>1</v>
      </c>
      <c r="J51" s="721"/>
      <c r="K51" s="24">
        <f ca="1">(SUMIF($10:$10,J51,$11:$11)-SUMIF($10:$10,$J$23,$11:$11)+100)/100</f>
        <v>1</v>
      </c>
      <c r="L51" s="721"/>
      <c r="M51" s="24">
        <f ca="1">(SUMIF($12:$12,L51,$13:$13)-SUMIF($12:$12,$L$23,$13:$13)+100)/100</f>
        <v>1</v>
      </c>
      <c r="N51" s="721"/>
      <c r="O51" s="24">
        <f ca="1">(SUMIF($14:$14,N51,$15:$15)-SUMIF($14:$14,$N$23,$15:$15)+100)/100</f>
        <v>1</v>
      </c>
      <c r="P51" s="721"/>
      <c r="Q51" s="24">
        <f ca="1">(SUMIF($16:$16,P51,$17:$17)-SUMIF($16:$16,$P$23,$17:$17)+100)/100</f>
        <v>1</v>
      </c>
      <c r="R51" s="717">
        <f ca="1">IF(B51="",0,ROUND($R$23*C51*E51*G51*I51*K51*M51*O51*Q51,0))</f>
        <v>83603</v>
      </c>
      <c r="S51" s="362">
        <f ca="1">ROUND(R51*B51/10000,0)</f>
        <v>3744</v>
      </c>
      <c r="T51" s="2964" t="s">
        <v>3185</v>
      </c>
      <c r="U51">
        <v>50</v>
      </c>
    </row>
    <row r="52" spans="1:21">
      <c r="A52" s="2937" t="s">
        <v>3104</v>
      </c>
      <c r="B52" s="2937">
        <v>447.82</v>
      </c>
      <c r="C52" s="24">
        <f ca="1">IF(B52="",1,(LOOKUP(B52,$3:$3,$4:$4)-LOOKUP($B$23,$3:$3,$4:$4)+100)/100)</f>
        <v>1</v>
      </c>
      <c r="D52" s="721" t="s">
        <v>3163</v>
      </c>
      <c r="E52" s="24" t="e">
        <f>(SUMIF($5:$5,D52,#REF!)-SUMIF($5:$5,$D$23,#REF!)+100)/100</f>
        <v>#REF!</v>
      </c>
      <c r="F52" s="721" t="s">
        <v>3133</v>
      </c>
      <c r="G52" s="24">
        <f ca="1">(SUMIF($6:$6,F52,$7:$7)-SUMIF($6:$6,$F$23,$7:$7)+100)/100</f>
        <v>1</v>
      </c>
      <c r="H52" s="721" t="s">
        <v>3167</v>
      </c>
      <c r="I52" s="24">
        <f ca="1">(SUMIF($8:$8,H52,$9:$9)-SUMIF($8:$8,$H$23,$9:$9)+100)/100</f>
        <v>1</v>
      </c>
      <c r="J52" s="721"/>
      <c r="K52" s="24">
        <f ca="1">(SUMIF($10:$10,J52,$11:$11)-SUMIF($10:$10,$J$23,$11:$11)+100)/100</f>
        <v>1</v>
      </c>
      <c r="L52" s="721"/>
      <c r="M52" s="24">
        <f ca="1">(SUMIF($12:$12,L52,$13:$13)-SUMIF($12:$12,$L$23,$13:$13)+100)/100</f>
        <v>1</v>
      </c>
      <c r="N52" s="721"/>
      <c r="O52" s="24">
        <f ca="1">(SUMIF($14:$14,N52,$15:$15)-SUMIF($14:$14,$N$23,$15:$15)+100)/100</f>
        <v>1</v>
      </c>
      <c r="P52" s="721"/>
      <c r="Q52" s="24">
        <f ca="1">(SUMIF($16:$16,P52,$17:$17)-SUMIF($16:$16,$P$23,$17:$17)+100)/100</f>
        <v>1</v>
      </c>
      <c r="R52" s="717">
        <f ca="1">IF(B52="",0,ROUND($R$23*C52*E52*G52*I52*K52*M52*O52*Q52,0))</f>
        <v>83603</v>
      </c>
      <c r="S52" s="362">
        <f ca="1">ROUND(R52*B52/10000,0)</f>
        <v>3744</v>
      </c>
      <c r="T52" s="2964" t="s">
        <v>3185</v>
      </c>
      <c r="U52">
        <v>51</v>
      </c>
    </row>
    <row r="53" spans="1:21">
      <c r="A53" s="2937" t="s">
        <v>3105</v>
      </c>
      <c r="B53" s="2937">
        <v>447.82</v>
      </c>
      <c r="C53" s="24">
        <f ca="1">IF(B53="",1,(LOOKUP(B53,$3:$3,$4:$4)-LOOKUP($B$23,$3:$3,$4:$4)+100)/100)</f>
        <v>1</v>
      </c>
      <c r="D53" s="721" t="s">
        <v>3163</v>
      </c>
      <c r="E53" s="24" t="e">
        <f>(SUMIF($5:$5,D53,#REF!)-SUMIF($5:$5,$D$23,#REF!)+100)/100</f>
        <v>#REF!</v>
      </c>
      <c r="F53" s="721" t="s">
        <v>3133</v>
      </c>
      <c r="G53" s="24">
        <f ca="1">(SUMIF($6:$6,F53,$7:$7)-SUMIF($6:$6,$F$23,$7:$7)+100)/100</f>
        <v>1</v>
      </c>
      <c r="H53" s="721" t="s">
        <v>3167</v>
      </c>
      <c r="I53" s="24">
        <f ca="1">(SUMIF($8:$8,H53,$9:$9)-SUMIF($8:$8,$H$23,$9:$9)+100)/100</f>
        <v>1</v>
      </c>
      <c r="J53" s="721"/>
      <c r="K53" s="24">
        <f ca="1">(SUMIF($10:$10,J53,$11:$11)-SUMIF($10:$10,$J$23,$11:$11)+100)/100</f>
        <v>1</v>
      </c>
      <c r="L53" s="721"/>
      <c r="M53" s="24">
        <f ca="1">(SUMIF($12:$12,L53,$13:$13)-SUMIF($12:$12,$L$23,$13:$13)+100)/100</f>
        <v>1</v>
      </c>
      <c r="N53" s="721"/>
      <c r="O53" s="24">
        <f ca="1">(SUMIF($14:$14,N53,$15:$15)-SUMIF($14:$14,$N$23,$15:$15)+100)/100</f>
        <v>1</v>
      </c>
      <c r="P53" s="721"/>
      <c r="Q53" s="24">
        <f ca="1">(SUMIF($16:$16,P53,$17:$17)-SUMIF($16:$16,$P$23,$17:$17)+100)/100</f>
        <v>1</v>
      </c>
      <c r="R53" s="717">
        <f ca="1">IF(B53="",0,ROUND($R$23*C53*E53*G53*I53*K53*M53*O53*Q53,0))</f>
        <v>83603</v>
      </c>
      <c r="S53" s="362">
        <f ca="1">ROUND(R53*B53/10000,0)</f>
        <v>3744</v>
      </c>
      <c r="T53" s="2964" t="s">
        <v>3185</v>
      </c>
      <c r="U53">
        <v>52</v>
      </c>
    </row>
    <row r="54" spans="1:21">
      <c r="A54" s="2937" t="s">
        <v>3106</v>
      </c>
      <c r="B54" s="2937">
        <v>447.82</v>
      </c>
      <c r="C54" s="24">
        <f ca="1">IF(B54="",1,(LOOKUP(B54,$3:$3,$4:$4)-LOOKUP($B$23,$3:$3,$4:$4)+100)/100)</f>
        <v>1</v>
      </c>
      <c r="D54" s="721" t="s">
        <v>3163</v>
      </c>
      <c r="E54" s="24" t="e">
        <f>(SUMIF($5:$5,D54,#REF!)-SUMIF($5:$5,$D$23,#REF!)+100)/100</f>
        <v>#REF!</v>
      </c>
      <c r="F54" s="721" t="s">
        <v>3133</v>
      </c>
      <c r="G54" s="24">
        <f ca="1">(SUMIF($6:$6,F54,$7:$7)-SUMIF($6:$6,$F$23,$7:$7)+100)/100</f>
        <v>1</v>
      </c>
      <c r="H54" s="721" t="s">
        <v>3167</v>
      </c>
      <c r="I54" s="24">
        <f ca="1">(SUMIF($8:$8,H54,$9:$9)-SUMIF($8:$8,$H$23,$9:$9)+100)/100</f>
        <v>1</v>
      </c>
      <c r="J54" s="721"/>
      <c r="K54" s="24">
        <f ca="1">(SUMIF($10:$10,J54,$11:$11)-SUMIF($10:$10,$J$23,$11:$11)+100)/100</f>
        <v>1</v>
      </c>
      <c r="L54" s="721"/>
      <c r="M54" s="24">
        <f ca="1">(SUMIF($12:$12,L54,$13:$13)-SUMIF($12:$12,$L$23,$13:$13)+100)/100</f>
        <v>1</v>
      </c>
      <c r="N54" s="721"/>
      <c r="O54" s="24">
        <f ca="1">(SUMIF($14:$14,N54,$15:$15)-SUMIF($14:$14,$N$23,$15:$15)+100)/100</f>
        <v>1</v>
      </c>
      <c r="P54" s="721"/>
      <c r="Q54" s="24">
        <f ca="1">(SUMIF($16:$16,P54,$17:$17)-SUMIF($16:$16,$P$23,$17:$17)+100)/100</f>
        <v>1</v>
      </c>
      <c r="R54" s="717">
        <f ca="1">IF(B54="",0,ROUND($R$23*C54*E54*G54*I54*K54*M54*O54*Q54,0))</f>
        <v>83603</v>
      </c>
      <c r="S54" s="362">
        <f ca="1">ROUND(R54*B54/10000,0)</f>
        <v>3744</v>
      </c>
      <c r="T54" s="2964" t="s">
        <v>3185</v>
      </c>
      <c r="U54">
        <v>53</v>
      </c>
    </row>
    <row r="55" spans="1:21">
      <c r="A55" s="2937" t="s">
        <v>3107</v>
      </c>
      <c r="B55" s="2937">
        <v>453.64</v>
      </c>
      <c r="C55" s="24">
        <f ca="1">IF(B55="",1,(LOOKUP(B55,$3:$3,$4:$4)-LOOKUP($B$23,$3:$3,$4:$4)+100)/100)</f>
        <v>1</v>
      </c>
      <c r="D55" s="721" t="s">
        <v>3170</v>
      </c>
      <c r="E55" s="24" t="e">
        <f>(SUMIF($5:$5,D55,#REF!)-SUMIF($5:$5,$D$23,#REF!)+100)/100</f>
        <v>#REF!</v>
      </c>
      <c r="F55" s="721" t="s">
        <v>3133</v>
      </c>
      <c r="G55" s="24">
        <f ca="1">(SUMIF($6:$6,F55,$7:$7)-SUMIF($6:$6,$F$23,$7:$7)+100)/100</f>
        <v>1</v>
      </c>
      <c r="H55" s="721" t="s">
        <v>3167</v>
      </c>
      <c r="I55" s="24">
        <f ca="1">(SUMIF($8:$8,H55,$9:$9)-SUMIF($8:$8,$H$23,$9:$9)+100)/100</f>
        <v>1</v>
      </c>
      <c r="J55" s="721"/>
      <c r="K55" s="24">
        <f ca="1">(SUMIF($10:$10,J55,$11:$11)-SUMIF($10:$10,$J$23,$11:$11)+100)/100</f>
        <v>1</v>
      </c>
      <c r="L55" s="721"/>
      <c r="M55" s="24">
        <f ca="1">(SUMIF($12:$12,L55,$13:$13)-SUMIF($12:$12,$L$23,$13:$13)+100)/100</f>
        <v>1</v>
      </c>
      <c r="N55" s="721"/>
      <c r="O55" s="24">
        <f ca="1">(SUMIF($14:$14,N55,$15:$15)-SUMIF($14:$14,$N$23,$15:$15)+100)/100</f>
        <v>1</v>
      </c>
      <c r="P55" s="721"/>
      <c r="Q55" s="24">
        <f ca="1">(SUMIF($16:$16,P55,$17:$17)-SUMIF($16:$16,$P$23,$17:$17)+100)/100</f>
        <v>1</v>
      </c>
      <c r="R55" s="717">
        <f ca="1">IF(B55="",0,ROUND($R$23*C55*E55*G55*I55*K55*M55*O55*Q55,0))</f>
        <v>87584</v>
      </c>
      <c r="S55" s="362">
        <f ca="1">ROUND(R55*B55/10000,0)</f>
        <v>3973</v>
      </c>
      <c r="T55" s="2964" t="s">
        <v>3185</v>
      </c>
      <c r="U55">
        <v>54</v>
      </c>
    </row>
    <row r="56" spans="1:21">
      <c r="A56" s="2937" t="s">
        <v>3108</v>
      </c>
      <c r="B56" s="2937">
        <v>447.82</v>
      </c>
      <c r="C56" s="24">
        <f ca="1">IF(B56="",1,(LOOKUP(B56,$3:$3,$4:$4)-LOOKUP($B$23,$3:$3,$4:$4)+100)/100)</f>
        <v>1</v>
      </c>
      <c r="D56" s="721" t="s">
        <v>3170</v>
      </c>
      <c r="E56" s="24" t="e">
        <f>(SUMIF($5:$5,D56,#REF!)-SUMIF($5:$5,$D$23,#REF!)+100)/100</f>
        <v>#REF!</v>
      </c>
      <c r="F56" s="721" t="s">
        <v>3133</v>
      </c>
      <c r="G56" s="24">
        <f ca="1">(SUMIF($6:$6,F56,$7:$7)-SUMIF($6:$6,$F$23,$7:$7)+100)/100</f>
        <v>1</v>
      </c>
      <c r="H56" s="721" t="s">
        <v>3167</v>
      </c>
      <c r="I56" s="24">
        <f ca="1">(SUMIF($8:$8,H56,$9:$9)-SUMIF($8:$8,$H$23,$9:$9)+100)/100</f>
        <v>1</v>
      </c>
      <c r="J56" s="721"/>
      <c r="K56" s="24">
        <f ca="1">(SUMIF($10:$10,J56,$11:$11)-SUMIF($10:$10,$J$23,$11:$11)+100)/100</f>
        <v>1</v>
      </c>
      <c r="L56" s="721"/>
      <c r="M56" s="24">
        <f ca="1">(SUMIF($12:$12,L56,$13:$13)-SUMIF($12:$12,$L$23,$13:$13)+100)/100</f>
        <v>1</v>
      </c>
      <c r="N56" s="721"/>
      <c r="O56" s="24">
        <f ca="1">(SUMIF($14:$14,N56,$15:$15)-SUMIF($14:$14,$N$23,$15:$15)+100)/100</f>
        <v>1</v>
      </c>
      <c r="P56" s="721"/>
      <c r="Q56" s="24">
        <f ca="1">(SUMIF($16:$16,P56,$17:$17)-SUMIF($16:$16,$P$23,$17:$17)+100)/100</f>
        <v>1</v>
      </c>
      <c r="R56" s="717">
        <f ca="1">IF(B56="",0,ROUND($R$23*C56*E56*G56*I56*K56*M56*O56*Q56,0))</f>
        <v>87584</v>
      </c>
      <c r="S56" s="362">
        <f ca="1">ROUND(R56*B56/10000,0)</f>
        <v>3922</v>
      </c>
      <c r="T56" s="2964" t="s">
        <v>3185</v>
      </c>
      <c r="U56">
        <v>55</v>
      </c>
    </row>
    <row r="57" spans="1:21">
      <c r="A57" s="2937" t="s">
        <v>3109</v>
      </c>
      <c r="B57" s="2937">
        <v>453.64</v>
      </c>
      <c r="C57" s="24">
        <f ca="1">IF(B57="",1,(LOOKUP(B57,$3:$3,$4:$4)-LOOKUP($B$23,$3:$3,$4:$4)+100)/100)</f>
        <v>1</v>
      </c>
      <c r="D57" s="721" t="s">
        <v>3170</v>
      </c>
      <c r="E57" s="24" t="e">
        <f>(SUMIF($5:$5,D57,#REF!)-SUMIF($5:$5,$D$23,#REF!)+100)/100</f>
        <v>#REF!</v>
      </c>
      <c r="F57" s="721" t="s">
        <v>3133</v>
      </c>
      <c r="G57" s="24">
        <f ca="1">(SUMIF($6:$6,F57,$7:$7)-SUMIF($6:$6,$F$23,$7:$7)+100)/100</f>
        <v>1</v>
      </c>
      <c r="H57" s="721" t="s">
        <v>3167</v>
      </c>
      <c r="I57" s="24">
        <f ca="1">(SUMIF($8:$8,H57,$9:$9)-SUMIF($8:$8,$H$23,$9:$9)+100)/100</f>
        <v>1</v>
      </c>
      <c r="J57" s="721"/>
      <c r="K57" s="24">
        <f ca="1">(SUMIF($10:$10,J57,$11:$11)-SUMIF($10:$10,$J$23,$11:$11)+100)/100</f>
        <v>1</v>
      </c>
      <c r="L57" s="721"/>
      <c r="M57" s="24">
        <f ca="1">(SUMIF($12:$12,L57,$13:$13)-SUMIF($12:$12,$L$23,$13:$13)+100)/100</f>
        <v>1</v>
      </c>
      <c r="N57" s="721"/>
      <c r="O57" s="24">
        <f ca="1">(SUMIF($14:$14,N57,$15:$15)-SUMIF($14:$14,$N$23,$15:$15)+100)/100</f>
        <v>1</v>
      </c>
      <c r="P57" s="721"/>
      <c r="Q57" s="24">
        <f ca="1">(SUMIF($16:$16,P57,$17:$17)-SUMIF($16:$16,$P$23,$17:$17)+100)/100</f>
        <v>1</v>
      </c>
      <c r="R57" s="717">
        <f ca="1">IF(B57="",0,ROUND($R$23*C57*E57*G57*I57*K57*M57*O57*Q57,0))</f>
        <v>87584</v>
      </c>
      <c r="S57" s="362">
        <f ca="1">ROUND(R57*B57/10000,0)</f>
        <v>3973</v>
      </c>
      <c r="T57" s="2964" t="s">
        <v>3185</v>
      </c>
      <c r="U57">
        <v>56</v>
      </c>
    </row>
    <row r="58" spans="1:21">
      <c r="A58" s="2937" t="s">
        <v>3110</v>
      </c>
      <c r="B58" s="2937">
        <v>447.82</v>
      </c>
      <c r="C58" s="24">
        <f ca="1">IF(B58="",1,(LOOKUP(B58,$3:$3,$4:$4)-LOOKUP($B$23,$3:$3,$4:$4)+100)/100)</f>
        <v>1</v>
      </c>
      <c r="D58" s="721" t="s">
        <v>3170</v>
      </c>
      <c r="E58" s="24" t="e">
        <f>(SUMIF($5:$5,D58,#REF!)-SUMIF($5:$5,$D$23,#REF!)+100)/100</f>
        <v>#REF!</v>
      </c>
      <c r="F58" s="721" t="s">
        <v>3133</v>
      </c>
      <c r="G58" s="24">
        <f ca="1">(SUMIF($6:$6,F58,$7:$7)-SUMIF($6:$6,$F$23,$7:$7)+100)/100</f>
        <v>1</v>
      </c>
      <c r="H58" s="721" t="s">
        <v>3167</v>
      </c>
      <c r="I58" s="24">
        <f ca="1">(SUMIF($8:$8,H58,$9:$9)-SUMIF($8:$8,$H$23,$9:$9)+100)/100</f>
        <v>1</v>
      </c>
      <c r="J58" s="721"/>
      <c r="K58" s="24">
        <f ca="1">(SUMIF($10:$10,J58,$11:$11)-SUMIF($10:$10,$J$23,$11:$11)+100)/100</f>
        <v>1</v>
      </c>
      <c r="L58" s="721"/>
      <c r="M58" s="24">
        <f ca="1">(SUMIF($12:$12,L58,$13:$13)-SUMIF($12:$12,$L$23,$13:$13)+100)/100</f>
        <v>1</v>
      </c>
      <c r="N58" s="721"/>
      <c r="O58" s="24">
        <f ca="1">(SUMIF($14:$14,N58,$15:$15)-SUMIF($14:$14,$N$23,$15:$15)+100)/100</f>
        <v>1</v>
      </c>
      <c r="P58" s="721"/>
      <c r="Q58" s="24">
        <f ca="1">(SUMIF($16:$16,P58,$17:$17)-SUMIF($16:$16,$P$23,$17:$17)+100)/100</f>
        <v>1</v>
      </c>
      <c r="R58" s="717">
        <f ca="1">IF(B58="",0,ROUND($R$23*C58*E58*G58*I58*K58*M58*O58*Q58,0))</f>
        <v>87584</v>
      </c>
      <c r="S58" s="362">
        <f ca="1">ROUND(R58*B58/10000,0)</f>
        <v>3922</v>
      </c>
      <c r="T58" s="2964" t="s">
        <v>3185</v>
      </c>
      <c r="U58">
        <v>57</v>
      </c>
    </row>
    <row r="59" spans="1:21">
      <c r="A59" s="2937" t="s">
        <v>3111</v>
      </c>
      <c r="B59" s="2937">
        <v>453.43</v>
      </c>
      <c r="C59" s="24">
        <f ca="1">IF(B59="",1,(LOOKUP(B59,$3:$3,$4:$4)-LOOKUP($B$23,$3:$3,$4:$4)+100)/100)</f>
        <v>1</v>
      </c>
      <c r="D59" s="721" t="s">
        <v>3170</v>
      </c>
      <c r="E59" s="24" t="e">
        <f>(SUMIF($5:$5,D59,#REF!)-SUMIF($5:$5,$D$23,#REF!)+100)/100</f>
        <v>#REF!</v>
      </c>
      <c r="F59" s="721" t="s">
        <v>3133</v>
      </c>
      <c r="G59" s="24">
        <f ca="1">(SUMIF($6:$6,F59,$7:$7)-SUMIF($6:$6,$F$23,$7:$7)+100)/100</f>
        <v>1</v>
      </c>
      <c r="H59" s="721" t="s">
        <v>3167</v>
      </c>
      <c r="I59" s="24">
        <f ca="1">(SUMIF($8:$8,H59,$9:$9)-SUMIF($8:$8,$H$23,$9:$9)+100)/100</f>
        <v>1</v>
      </c>
      <c r="J59" s="721"/>
      <c r="K59" s="24">
        <f ca="1">(SUMIF($10:$10,J59,$11:$11)-SUMIF($10:$10,$J$23,$11:$11)+100)/100</f>
        <v>1</v>
      </c>
      <c r="L59" s="721"/>
      <c r="M59" s="24">
        <f ca="1">(SUMIF($12:$12,L59,$13:$13)-SUMIF($12:$12,$L$23,$13:$13)+100)/100</f>
        <v>1</v>
      </c>
      <c r="N59" s="721"/>
      <c r="O59" s="24">
        <f ca="1">(SUMIF($14:$14,N59,$15:$15)-SUMIF($14:$14,$N$23,$15:$15)+100)/100</f>
        <v>1</v>
      </c>
      <c r="P59" s="721"/>
      <c r="Q59" s="24">
        <f ca="1">(SUMIF($16:$16,P59,$17:$17)-SUMIF($16:$16,$P$23,$17:$17)+100)/100</f>
        <v>1</v>
      </c>
      <c r="R59" s="717">
        <f ca="1">IF(B59="",0,ROUND($R$23*C59*E59*G59*I59*K59*M59*O59*Q59,0))</f>
        <v>87584</v>
      </c>
      <c r="S59" s="362">
        <f ca="1">ROUND(R59*B59/10000,0)</f>
        <v>3971</v>
      </c>
      <c r="T59" s="2964" t="s">
        <v>3185</v>
      </c>
      <c r="U59">
        <v>58</v>
      </c>
    </row>
    <row r="60" spans="1:21">
      <c r="A60" s="2937" t="s">
        <v>3112</v>
      </c>
      <c r="B60" s="2937">
        <v>447.63</v>
      </c>
      <c r="C60" s="24">
        <f ca="1">IF(B60="",1,(LOOKUP(B60,$3:$3,$4:$4)-LOOKUP($B$23,$3:$3,$4:$4)+100)/100)</f>
        <v>1</v>
      </c>
      <c r="D60" s="721" t="s">
        <v>3170</v>
      </c>
      <c r="E60" s="24" t="e">
        <f>(SUMIF($5:$5,D60,#REF!)-SUMIF($5:$5,$D$23,#REF!)+100)/100</f>
        <v>#REF!</v>
      </c>
      <c r="F60" s="721" t="s">
        <v>3133</v>
      </c>
      <c r="G60" s="24">
        <f ca="1">(SUMIF($6:$6,F60,$7:$7)-SUMIF($6:$6,$F$23,$7:$7)+100)/100</f>
        <v>1</v>
      </c>
      <c r="H60" s="721" t="s">
        <v>3167</v>
      </c>
      <c r="I60" s="24">
        <f ca="1">(SUMIF($8:$8,H60,$9:$9)-SUMIF($8:$8,$H$23,$9:$9)+100)/100</f>
        <v>1</v>
      </c>
      <c r="J60" s="721"/>
      <c r="K60" s="24">
        <f ca="1">(SUMIF($10:$10,J60,$11:$11)-SUMIF($10:$10,$J$23,$11:$11)+100)/100</f>
        <v>1</v>
      </c>
      <c r="L60" s="721"/>
      <c r="M60" s="24">
        <f ca="1">(SUMIF($12:$12,L60,$13:$13)-SUMIF($12:$12,$L$23,$13:$13)+100)/100</f>
        <v>1</v>
      </c>
      <c r="N60" s="721"/>
      <c r="O60" s="24">
        <f ca="1">(SUMIF($14:$14,N60,$15:$15)-SUMIF($14:$14,$N$23,$15:$15)+100)/100</f>
        <v>1</v>
      </c>
      <c r="P60" s="721"/>
      <c r="Q60" s="24">
        <f ca="1">(SUMIF($16:$16,P60,$17:$17)-SUMIF($16:$16,$P$23,$17:$17)+100)/100</f>
        <v>1</v>
      </c>
      <c r="R60" s="717">
        <f ca="1">IF(B60="",0,ROUND($R$23*C60*E60*G60*I60*K60*M60*O60*Q60,0))</f>
        <v>87584</v>
      </c>
      <c r="S60" s="362">
        <f ca="1">ROUND(R60*B60/10000,0)</f>
        <v>3921</v>
      </c>
      <c r="T60" s="2964" t="s">
        <v>3185</v>
      </c>
      <c r="U60">
        <v>59</v>
      </c>
    </row>
    <row r="61" spans="1:21">
      <c r="A61" s="2937" t="s">
        <v>3113</v>
      </c>
      <c r="B61" s="2937">
        <v>453.43</v>
      </c>
      <c r="C61" s="24">
        <f ca="1">IF(B61="",1,(LOOKUP(B61,$3:$3,$4:$4)-LOOKUP($B$23,$3:$3,$4:$4)+100)/100)</f>
        <v>1</v>
      </c>
      <c r="D61" s="721" t="s">
        <v>3170</v>
      </c>
      <c r="E61" s="24" t="e">
        <f>(SUMIF($5:$5,D61,#REF!)-SUMIF($5:$5,$D$23,#REF!)+100)/100</f>
        <v>#REF!</v>
      </c>
      <c r="F61" s="721" t="s">
        <v>3133</v>
      </c>
      <c r="G61" s="24">
        <f ca="1">(SUMIF($6:$6,F61,$7:$7)-SUMIF($6:$6,$F$23,$7:$7)+100)/100</f>
        <v>1</v>
      </c>
      <c r="H61" s="721" t="s">
        <v>3167</v>
      </c>
      <c r="I61" s="24">
        <f ca="1">(SUMIF($8:$8,H61,$9:$9)-SUMIF($8:$8,$H$23,$9:$9)+100)/100</f>
        <v>1</v>
      </c>
      <c r="J61" s="721"/>
      <c r="K61" s="24">
        <f ca="1">(SUMIF($10:$10,J61,$11:$11)-SUMIF($10:$10,$J$23,$11:$11)+100)/100</f>
        <v>1</v>
      </c>
      <c r="L61" s="721"/>
      <c r="M61" s="24">
        <f ca="1">(SUMIF($12:$12,L61,$13:$13)-SUMIF($12:$12,$L$23,$13:$13)+100)/100</f>
        <v>1</v>
      </c>
      <c r="N61" s="721"/>
      <c r="O61" s="24">
        <f ca="1">(SUMIF($14:$14,N61,$15:$15)-SUMIF($14:$14,$N$23,$15:$15)+100)/100</f>
        <v>1</v>
      </c>
      <c r="P61" s="721"/>
      <c r="Q61" s="24">
        <f ca="1">(SUMIF($16:$16,P61,$17:$17)-SUMIF($16:$16,$P$23,$17:$17)+100)/100</f>
        <v>1</v>
      </c>
      <c r="R61" s="717">
        <f ca="1">IF(B61="",0,ROUND($R$23*C61*E61*G61*I61*K61*M61*O61*Q61,0))</f>
        <v>87584</v>
      </c>
      <c r="S61" s="362">
        <f ca="1">ROUND(R61*B61/10000,0)</f>
        <v>3971</v>
      </c>
      <c r="T61" s="2964" t="s">
        <v>3185</v>
      </c>
      <c r="U61">
        <v>60</v>
      </c>
    </row>
    <row r="62" spans="1:21">
      <c r="A62" s="2937" t="s">
        <v>3114</v>
      </c>
      <c r="B62" s="2937">
        <v>447.63</v>
      </c>
      <c r="C62" s="24">
        <f ca="1">IF(B62="",1,(LOOKUP(B62,$3:$3,$4:$4)-LOOKUP($B$23,$3:$3,$4:$4)+100)/100)</f>
        <v>1</v>
      </c>
      <c r="D62" s="721" t="s">
        <v>3170</v>
      </c>
      <c r="E62" s="24" t="e">
        <f>(SUMIF($5:$5,D62,#REF!)-SUMIF($5:$5,$D$23,#REF!)+100)/100</f>
        <v>#REF!</v>
      </c>
      <c r="F62" s="721" t="s">
        <v>3133</v>
      </c>
      <c r="G62" s="24">
        <f ca="1">(SUMIF($6:$6,F62,$7:$7)-SUMIF($6:$6,$F$23,$7:$7)+100)/100</f>
        <v>1</v>
      </c>
      <c r="H62" s="721" t="s">
        <v>3167</v>
      </c>
      <c r="I62" s="24">
        <f ca="1">(SUMIF($8:$8,H62,$9:$9)-SUMIF($8:$8,$H$23,$9:$9)+100)/100</f>
        <v>1</v>
      </c>
      <c r="J62" s="721"/>
      <c r="K62" s="24">
        <f ca="1">(SUMIF($10:$10,J62,$11:$11)-SUMIF($10:$10,$J$23,$11:$11)+100)/100</f>
        <v>1</v>
      </c>
      <c r="L62" s="721"/>
      <c r="M62" s="24">
        <f ca="1">(SUMIF($12:$12,L62,$13:$13)-SUMIF($12:$12,$L$23,$13:$13)+100)/100</f>
        <v>1</v>
      </c>
      <c r="N62" s="721"/>
      <c r="O62" s="24">
        <f ca="1">(SUMIF($14:$14,N62,$15:$15)-SUMIF($14:$14,$N$23,$15:$15)+100)/100</f>
        <v>1</v>
      </c>
      <c r="P62" s="721"/>
      <c r="Q62" s="24">
        <f ca="1">(SUMIF($16:$16,P62,$17:$17)-SUMIF($16:$16,$P$23,$17:$17)+100)/100</f>
        <v>1</v>
      </c>
      <c r="R62" s="717">
        <f ca="1">IF(B62="",0,ROUND($R$23*C62*E62*G62*I62*K62*M62*O62*Q62,0))</f>
        <v>87584</v>
      </c>
      <c r="S62" s="362">
        <f ca="1">ROUND(R62*B62/10000,0)</f>
        <v>3921</v>
      </c>
      <c r="T62" s="2964" t="s">
        <v>3185</v>
      </c>
      <c r="U62">
        <v>61</v>
      </c>
    </row>
    <row r="63" spans="1:21">
      <c r="A63" s="2937" t="s">
        <v>3115</v>
      </c>
      <c r="B63" s="2937">
        <v>453.43</v>
      </c>
      <c r="C63" s="24">
        <f ca="1">IF(B63="",1,(LOOKUP(B63,$3:$3,$4:$4)-LOOKUP($B$23,$3:$3,$4:$4)+100)/100)</f>
        <v>1</v>
      </c>
      <c r="D63" s="721" t="s">
        <v>3170</v>
      </c>
      <c r="E63" s="24" t="e">
        <f>(SUMIF($5:$5,D63,#REF!)-SUMIF($5:$5,$D$23,#REF!)+100)/100</f>
        <v>#REF!</v>
      </c>
      <c r="F63" s="721" t="s">
        <v>3133</v>
      </c>
      <c r="G63" s="24">
        <f ca="1">(SUMIF($6:$6,F63,$7:$7)-SUMIF($6:$6,$F$23,$7:$7)+100)/100</f>
        <v>1</v>
      </c>
      <c r="H63" s="721" t="s">
        <v>3167</v>
      </c>
      <c r="I63" s="24">
        <f ca="1">(SUMIF($8:$8,H63,$9:$9)-SUMIF($8:$8,$H$23,$9:$9)+100)/100</f>
        <v>1</v>
      </c>
      <c r="J63" s="721"/>
      <c r="K63" s="24">
        <f ca="1">(SUMIF($10:$10,J63,$11:$11)-SUMIF($10:$10,$J$23,$11:$11)+100)/100</f>
        <v>1</v>
      </c>
      <c r="L63" s="721"/>
      <c r="M63" s="24">
        <f ca="1">(SUMIF($12:$12,L63,$13:$13)-SUMIF($12:$12,$L$23,$13:$13)+100)/100</f>
        <v>1</v>
      </c>
      <c r="N63" s="721"/>
      <c r="O63" s="24">
        <f ca="1">(SUMIF($14:$14,N63,$15:$15)-SUMIF($14:$14,$N$23,$15:$15)+100)/100</f>
        <v>1</v>
      </c>
      <c r="P63" s="721"/>
      <c r="Q63" s="24">
        <f ca="1">(SUMIF($16:$16,P63,$17:$17)-SUMIF($16:$16,$P$23,$17:$17)+100)/100</f>
        <v>1</v>
      </c>
      <c r="R63" s="717">
        <f ca="1">IF(B63="",0,ROUND($R$23*C63*E63*G63*I63*K63*M63*O63*Q63,0))</f>
        <v>87584</v>
      </c>
      <c r="S63" s="362">
        <f ca="1">ROUND(R63*B63/10000,0)</f>
        <v>3971</v>
      </c>
      <c r="T63" s="2964" t="s">
        <v>3185</v>
      </c>
      <c r="U63">
        <v>62</v>
      </c>
    </row>
    <row r="64" spans="1:21">
      <c r="A64" s="2937" t="s">
        <v>3116</v>
      </c>
      <c r="B64" s="2937">
        <v>447.63</v>
      </c>
      <c r="C64" s="24">
        <f ca="1">IF(B64="",1,(LOOKUP(B64,$3:$3,$4:$4)-LOOKUP($B$23,$3:$3,$4:$4)+100)/100)</f>
        <v>1</v>
      </c>
      <c r="D64" s="721" t="s">
        <v>3170</v>
      </c>
      <c r="E64" s="24" t="e">
        <f>(SUMIF($5:$5,D64,#REF!)-SUMIF($5:$5,$D$23,#REF!)+100)/100</f>
        <v>#REF!</v>
      </c>
      <c r="F64" s="721" t="s">
        <v>3133</v>
      </c>
      <c r="G64" s="24">
        <f ca="1">(SUMIF($6:$6,F64,$7:$7)-SUMIF($6:$6,$F$23,$7:$7)+100)/100</f>
        <v>1</v>
      </c>
      <c r="H64" s="721" t="s">
        <v>3167</v>
      </c>
      <c r="I64" s="24">
        <f ca="1">(SUMIF($8:$8,H64,$9:$9)-SUMIF($8:$8,$H$23,$9:$9)+100)/100</f>
        <v>1</v>
      </c>
      <c r="J64" s="721"/>
      <c r="K64" s="24">
        <f ca="1">(SUMIF($10:$10,J64,$11:$11)-SUMIF($10:$10,$J$23,$11:$11)+100)/100</f>
        <v>1</v>
      </c>
      <c r="L64" s="721"/>
      <c r="M64" s="24">
        <f ca="1">(SUMIF($12:$12,L64,$13:$13)-SUMIF($12:$12,$L$23,$13:$13)+100)/100</f>
        <v>1</v>
      </c>
      <c r="N64" s="721"/>
      <c r="O64" s="24">
        <f ca="1">(SUMIF($14:$14,N64,$15:$15)-SUMIF($14:$14,$N$23,$15:$15)+100)/100</f>
        <v>1</v>
      </c>
      <c r="P64" s="721"/>
      <c r="Q64" s="24">
        <f ca="1">(SUMIF($16:$16,P64,$17:$17)-SUMIF($16:$16,$P$23,$17:$17)+100)/100</f>
        <v>1</v>
      </c>
      <c r="R64" s="717">
        <f ca="1">IF(B64="",0,ROUND($R$23*C64*E64*G64*I64*K64*M64*O64*Q64,0))</f>
        <v>87584</v>
      </c>
      <c r="S64" s="362">
        <f ca="1">ROUND(R64*B64/10000,0)</f>
        <v>3921</v>
      </c>
      <c r="T64" s="2964" t="s">
        <v>3185</v>
      </c>
      <c r="U64">
        <v>63</v>
      </c>
    </row>
    <row r="65" spans="1:21">
      <c r="A65" s="2937" t="s">
        <v>3066</v>
      </c>
      <c r="B65" s="2937">
        <v>923.06</v>
      </c>
      <c r="C65" s="24">
        <f ca="1">IF(B65="",1,(LOOKUP(B65,$3:$3,$4:$4)-LOOKUP($B$23,$3:$3,$4:$4)+100)/100)</f>
        <v>1.02</v>
      </c>
      <c r="D65" s="721" t="s">
        <v>3170</v>
      </c>
      <c r="E65" s="24" t="e">
        <f>(SUMIF($5:$5,D65,#REF!)-SUMIF($5:$5,$D$23,#REF!)+100)/100</f>
        <v>#REF!</v>
      </c>
      <c r="F65" s="721" t="s">
        <v>3175</v>
      </c>
      <c r="G65" s="24">
        <f ca="1">(SUMIF($6:$6,F65,$7:$7)-SUMIF($6:$6,$F$23,$7:$7)+100)/100</f>
        <v>1.1000000000000001</v>
      </c>
      <c r="H65" s="721" t="s">
        <v>3167</v>
      </c>
      <c r="I65" s="24">
        <f ca="1">(SUMIF($8:$8,H65,$9:$9)-SUMIF($8:$8,$H$23,$9:$9)+100)/100</f>
        <v>1</v>
      </c>
      <c r="J65" s="721"/>
      <c r="K65" s="24">
        <f ca="1">(SUMIF($10:$10,J65,$11:$11)-SUMIF($10:$10,$J$23,$11:$11)+100)/100</f>
        <v>1</v>
      </c>
      <c r="L65" s="721"/>
      <c r="M65" s="24">
        <f ca="1">(SUMIF($12:$12,L65,$13:$13)-SUMIF($12:$12,$L$23,$13:$13)+100)/100</f>
        <v>1</v>
      </c>
      <c r="N65" s="721"/>
      <c r="O65" s="24">
        <f ca="1">(SUMIF($14:$14,N65,$15:$15)-SUMIF($14:$14,$N$23,$15:$15)+100)/100</f>
        <v>1</v>
      </c>
      <c r="P65" s="721"/>
      <c r="Q65" s="24">
        <f ca="1">(SUMIF($16:$16,P65,$17:$17)-SUMIF($16:$16,$P$23,$17:$17)+100)/100</f>
        <v>1</v>
      </c>
      <c r="R65" s="717">
        <f ca="1">IF(B65="",0,ROUND($R$23*C65*E65*G65*I65*K65*M65*O65*Q65,0))</f>
        <v>98269</v>
      </c>
      <c r="S65" s="362">
        <f ca="1">ROUND(R65*B65/10000,0)</f>
        <v>9071</v>
      </c>
      <c r="T65" s="2964" t="s">
        <v>3185</v>
      </c>
      <c r="U65">
        <v>64</v>
      </c>
    </row>
    <row r="66" spans="1:21">
      <c r="A66" s="2937" t="s">
        <v>3067</v>
      </c>
      <c r="B66" s="2937">
        <v>917.11</v>
      </c>
      <c r="C66" s="24">
        <f ca="1">IF(B66="",1,(LOOKUP(B66,$3:$3,$4:$4)-LOOKUP($B$23,$3:$3,$4:$4)+100)/100)</f>
        <v>1.02</v>
      </c>
      <c r="D66" s="721" t="s">
        <v>3170</v>
      </c>
      <c r="E66" s="24" t="e">
        <f>(SUMIF($5:$5,D66,#REF!)-SUMIF($5:$5,$D$23,#REF!)+100)/100</f>
        <v>#REF!</v>
      </c>
      <c r="F66" s="721" t="s">
        <v>3175</v>
      </c>
      <c r="G66" s="24">
        <f ca="1">(SUMIF($6:$6,F66,$7:$7)-SUMIF($6:$6,$F$23,$7:$7)+100)/100</f>
        <v>1.1000000000000001</v>
      </c>
      <c r="H66" s="721" t="s">
        <v>3167</v>
      </c>
      <c r="I66" s="24">
        <f ca="1">(SUMIF($8:$8,H66,$9:$9)-SUMIF($8:$8,$H$23,$9:$9)+100)/100</f>
        <v>1</v>
      </c>
      <c r="J66" s="721"/>
      <c r="K66" s="24">
        <f ca="1">(SUMIF($10:$10,J66,$11:$11)-SUMIF($10:$10,$J$23,$11:$11)+100)/100</f>
        <v>1</v>
      </c>
      <c r="L66" s="721"/>
      <c r="M66" s="24">
        <f ca="1">(SUMIF($12:$12,L66,$13:$13)-SUMIF($12:$12,$L$23,$13:$13)+100)/100</f>
        <v>1</v>
      </c>
      <c r="N66" s="721"/>
      <c r="O66" s="24">
        <f ca="1">(SUMIF($14:$14,N66,$15:$15)-SUMIF($14:$14,$N$23,$15:$15)+100)/100</f>
        <v>1</v>
      </c>
      <c r="P66" s="721"/>
      <c r="Q66" s="24">
        <f ca="1">(SUMIF($16:$16,P66,$17:$17)-SUMIF($16:$16,$P$23,$17:$17)+100)/100</f>
        <v>1</v>
      </c>
      <c r="R66" s="717">
        <f ca="1">IF(B66="",0,ROUND($R$23*C66*E66*G66*I66*K66*M66*O66*Q66,0))</f>
        <v>98269</v>
      </c>
      <c r="S66" s="362">
        <f ca="1">ROUND(R66*B66/10000,0)</f>
        <v>9012</v>
      </c>
      <c r="T66" s="2964" t="s">
        <v>3185</v>
      </c>
      <c r="U66">
        <v>65</v>
      </c>
    </row>
    <row r="67" spans="1:21">
      <c r="A67" s="2937" t="s">
        <v>3073</v>
      </c>
      <c r="B67" s="2937">
        <v>447.49</v>
      </c>
      <c r="C67" s="24">
        <f ca="1">IF(B67="",1,(LOOKUP(B67,$3:$3,$4:$4)-LOOKUP($B$23,$3:$3,$4:$4)+100)/100)</f>
        <v>1</v>
      </c>
      <c r="D67" s="721" t="s">
        <v>3158</v>
      </c>
      <c r="E67" s="24" t="e">
        <f>(SUMIF($5:$5,D67,#REF!)-SUMIF($5:$5,$D$23,#REF!)+100)/100</f>
        <v>#REF!</v>
      </c>
      <c r="F67" s="721" t="s">
        <v>3133</v>
      </c>
      <c r="G67" s="24">
        <f ca="1">(SUMIF($6:$6,F67,$7:$7)-SUMIF($6:$6,$F$23,$7:$7)+100)/100</f>
        <v>1</v>
      </c>
      <c r="H67" s="721" t="s">
        <v>3167</v>
      </c>
      <c r="I67" s="24">
        <f ca="1">(SUMIF($8:$8,H67,$9:$9)-SUMIF($8:$8,$H$23,$9:$9)+100)/100</f>
        <v>1</v>
      </c>
      <c r="J67" s="721"/>
      <c r="K67" s="24">
        <f ca="1">(SUMIF($10:$10,J67,$11:$11)-SUMIF($10:$10,$J$23,$11:$11)+100)/100</f>
        <v>1</v>
      </c>
      <c r="L67" s="721"/>
      <c r="M67" s="24">
        <f ca="1">(SUMIF($12:$12,L67,$13:$13)-SUMIF($12:$12,$L$23,$13:$13)+100)/100</f>
        <v>1</v>
      </c>
      <c r="N67" s="721"/>
      <c r="O67" s="24">
        <f ca="1">(SUMIF($14:$14,N67,$15:$15)-SUMIF($14:$14,$N$23,$15:$15)+100)/100</f>
        <v>1</v>
      </c>
      <c r="P67" s="721"/>
      <c r="Q67" s="24">
        <f ca="1">(SUMIF($16:$16,P67,$17:$17)-SUMIF($16:$16,$P$23,$17:$17)+100)/100</f>
        <v>1</v>
      </c>
      <c r="R67" s="717">
        <f ca="1">IF(B67="",0,ROUND($R$23*C67*E67*G67*I67*K67*M67*O67*Q67,0))</f>
        <v>79622</v>
      </c>
      <c r="S67" s="362">
        <f ca="1">ROUND(R67*B67/10000,0)</f>
        <v>3563</v>
      </c>
      <c r="T67" s="2964" t="s">
        <v>3185</v>
      </c>
      <c r="U67">
        <v>66</v>
      </c>
    </row>
    <row r="68" spans="1:21">
      <c r="A68" s="2937" t="s">
        <v>3117</v>
      </c>
      <c r="B68" s="2937">
        <v>447.82</v>
      </c>
      <c r="C68" s="24">
        <f ca="1">IF(B68="",1,(LOOKUP(B68,$3:$3,$4:$4)-LOOKUP($B$23,$3:$3,$4:$4)+100)/100)</f>
        <v>1</v>
      </c>
      <c r="D68" s="721" t="s">
        <v>3163</v>
      </c>
      <c r="E68" s="24" t="e">
        <f>(SUMIF($5:$5,D68,#REF!)-SUMIF($5:$5,$D$23,#REF!)+100)/100</f>
        <v>#REF!</v>
      </c>
      <c r="F68" s="721" t="s">
        <v>3133</v>
      </c>
      <c r="G68" s="24">
        <f ca="1">(SUMIF($6:$6,F68,$7:$7)-SUMIF($6:$6,$F$23,$7:$7)+100)/100</f>
        <v>1</v>
      </c>
      <c r="H68" s="721" t="s">
        <v>3167</v>
      </c>
      <c r="I68" s="24">
        <f ca="1">(SUMIF($8:$8,H68,$9:$9)-SUMIF($8:$8,$H$23,$9:$9)+100)/100</f>
        <v>1</v>
      </c>
      <c r="J68" s="721"/>
      <c r="K68" s="24">
        <f ca="1">(SUMIF($10:$10,J68,$11:$11)-SUMIF($10:$10,$J$23,$11:$11)+100)/100</f>
        <v>1</v>
      </c>
      <c r="L68" s="721"/>
      <c r="M68" s="24">
        <f ca="1">(SUMIF($12:$12,L68,$13:$13)-SUMIF($12:$12,$L$23,$13:$13)+100)/100</f>
        <v>1</v>
      </c>
      <c r="N68" s="721"/>
      <c r="O68" s="24">
        <f ca="1">(SUMIF($14:$14,N68,$15:$15)-SUMIF($14:$14,$N$23,$15:$15)+100)/100</f>
        <v>1</v>
      </c>
      <c r="P68" s="721"/>
      <c r="Q68" s="24">
        <f ca="1">(SUMIF($16:$16,P68,$17:$17)-SUMIF($16:$16,$P$23,$17:$17)+100)/100</f>
        <v>1</v>
      </c>
      <c r="R68" s="717">
        <f ca="1">IF(B68="",0,ROUND($R$23*C68*E68*G68*I68*K68*M68*O68*Q68,0))</f>
        <v>83603</v>
      </c>
      <c r="S68" s="362">
        <f ca="1">ROUND(R68*B68/10000,0)</f>
        <v>3744</v>
      </c>
      <c r="T68" s="2964" t="s">
        <v>3185</v>
      </c>
      <c r="U68">
        <v>67</v>
      </c>
    </row>
    <row r="69" spans="1:21">
      <c r="A69" s="2937" t="s">
        <v>3118</v>
      </c>
      <c r="B69" s="2937">
        <v>453.64</v>
      </c>
      <c r="C69" s="24">
        <f ca="1">IF(B69="",1,(LOOKUP(B69,$3:$3,$4:$4)-LOOKUP($B$23,$3:$3,$4:$4)+100)/100)</f>
        <v>1</v>
      </c>
      <c r="D69" s="721" t="s">
        <v>3163</v>
      </c>
      <c r="E69" s="24" t="e">
        <f>(SUMIF($5:$5,D69,#REF!)-SUMIF($5:$5,$D$23,#REF!)+100)/100</f>
        <v>#REF!</v>
      </c>
      <c r="F69" s="721" t="s">
        <v>3133</v>
      </c>
      <c r="G69" s="24">
        <f ca="1">(SUMIF($6:$6,F69,$7:$7)-SUMIF($6:$6,$F$23,$7:$7)+100)/100</f>
        <v>1</v>
      </c>
      <c r="H69" s="721" t="s">
        <v>3167</v>
      </c>
      <c r="I69" s="24">
        <f ca="1">(SUMIF($8:$8,H69,$9:$9)-SUMIF($8:$8,$H$23,$9:$9)+100)/100</f>
        <v>1</v>
      </c>
      <c r="J69" s="721"/>
      <c r="K69" s="24">
        <f ca="1">(SUMIF($10:$10,J69,$11:$11)-SUMIF($10:$10,$J$23,$11:$11)+100)/100</f>
        <v>1</v>
      </c>
      <c r="L69" s="721"/>
      <c r="M69" s="24">
        <f ca="1">(SUMIF($12:$12,L69,$13:$13)-SUMIF($12:$12,$L$23,$13:$13)+100)/100</f>
        <v>1</v>
      </c>
      <c r="N69" s="721"/>
      <c r="O69" s="24">
        <f ca="1">(SUMIF($14:$14,N69,$15:$15)-SUMIF($14:$14,$N$23,$15:$15)+100)/100</f>
        <v>1</v>
      </c>
      <c r="P69" s="721"/>
      <c r="Q69" s="24">
        <f ca="1">(SUMIF($16:$16,P69,$17:$17)-SUMIF($16:$16,$P$23,$17:$17)+100)/100</f>
        <v>1</v>
      </c>
      <c r="R69" s="717">
        <f ca="1">IF(B69="",0,ROUND($R$23*C69*E69*G69*I69*K69*M69*O69*Q69,0))</f>
        <v>83603</v>
      </c>
      <c r="S69" s="362">
        <f ca="1">ROUND(R69*B69/10000,0)</f>
        <v>3793</v>
      </c>
      <c r="T69" s="2964" t="s">
        <v>3185</v>
      </c>
      <c r="U69">
        <v>68</v>
      </c>
    </row>
    <row r="70" spans="1:21">
      <c r="A70" s="2937" t="s">
        <v>3119</v>
      </c>
      <c r="B70" s="2937">
        <v>447.82</v>
      </c>
      <c r="C70" s="24">
        <f ca="1">IF(B70="",1,(LOOKUP(B70,$3:$3,$4:$4)-LOOKUP($B$23,$3:$3,$4:$4)+100)/100)</f>
        <v>1</v>
      </c>
      <c r="D70" s="721" t="s">
        <v>3163</v>
      </c>
      <c r="E70" s="24" t="e">
        <f>(SUMIF($5:$5,D70,#REF!)-SUMIF($5:$5,$D$23,#REF!)+100)/100</f>
        <v>#REF!</v>
      </c>
      <c r="F70" s="721" t="s">
        <v>3133</v>
      </c>
      <c r="G70" s="24">
        <f ca="1">(SUMIF($6:$6,F70,$7:$7)-SUMIF($6:$6,$F$23,$7:$7)+100)/100</f>
        <v>1</v>
      </c>
      <c r="H70" s="721" t="s">
        <v>3167</v>
      </c>
      <c r="I70" s="24">
        <f ca="1">(SUMIF($8:$8,H70,$9:$9)-SUMIF($8:$8,$H$23,$9:$9)+100)/100</f>
        <v>1</v>
      </c>
      <c r="J70" s="721"/>
      <c r="K70" s="24">
        <f ca="1">(SUMIF($10:$10,J70,$11:$11)-SUMIF($10:$10,$J$23,$11:$11)+100)/100</f>
        <v>1</v>
      </c>
      <c r="L70" s="721"/>
      <c r="M70" s="24">
        <f ca="1">(SUMIF($12:$12,L70,$13:$13)-SUMIF($12:$12,$L$23,$13:$13)+100)/100</f>
        <v>1</v>
      </c>
      <c r="N70" s="721"/>
      <c r="O70" s="24">
        <f ca="1">(SUMIF($14:$14,N70,$15:$15)-SUMIF($14:$14,$N$23,$15:$15)+100)/100</f>
        <v>1</v>
      </c>
      <c r="P70" s="721"/>
      <c r="Q70" s="24">
        <f ca="1">(SUMIF($16:$16,P70,$17:$17)-SUMIF($16:$16,$P$23,$17:$17)+100)/100</f>
        <v>1</v>
      </c>
      <c r="R70" s="717">
        <f ca="1">IF(B70="",0,ROUND($R$23*C70*E70*G70*I70*K70*M70*O70*Q70,0))</f>
        <v>83603</v>
      </c>
      <c r="S70" s="362">
        <f ca="1">ROUND(R70*B70/10000,0)</f>
        <v>3744</v>
      </c>
      <c r="T70" s="2964" t="s">
        <v>3185</v>
      </c>
      <c r="U70">
        <v>69</v>
      </c>
    </row>
    <row r="71" spans="1:21">
      <c r="A71" s="2937" t="s">
        <v>3120</v>
      </c>
      <c r="B71" s="2937">
        <v>447.82</v>
      </c>
      <c r="C71" s="24">
        <f ca="1">IF(B71="",1,(LOOKUP(B71,$3:$3,$4:$4)-LOOKUP($B$23,$3:$3,$4:$4)+100)/100)</f>
        <v>1</v>
      </c>
      <c r="D71" s="721" t="s">
        <v>3163</v>
      </c>
      <c r="E71" s="24" t="e">
        <f>(SUMIF($5:$5,D71,#REF!)-SUMIF($5:$5,$D$23,#REF!)+100)/100</f>
        <v>#REF!</v>
      </c>
      <c r="F71" s="721" t="s">
        <v>3133</v>
      </c>
      <c r="G71" s="24">
        <f ca="1">(SUMIF($6:$6,F71,$7:$7)-SUMIF($6:$6,$F$23,$7:$7)+100)/100</f>
        <v>1</v>
      </c>
      <c r="H71" s="721" t="s">
        <v>3167</v>
      </c>
      <c r="I71" s="24">
        <f ca="1">(SUMIF($8:$8,H71,$9:$9)-SUMIF($8:$8,$H$23,$9:$9)+100)/100</f>
        <v>1</v>
      </c>
      <c r="J71" s="721"/>
      <c r="K71" s="24">
        <f ca="1">(SUMIF($10:$10,J71,$11:$11)-SUMIF($10:$10,$J$23,$11:$11)+100)/100</f>
        <v>1</v>
      </c>
      <c r="L71" s="721"/>
      <c r="M71" s="24">
        <f ca="1">(SUMIF($12:$12,L71,$13:$13)-SUMIF($12:$12,$L$23,$13:$13)+100)/100</f>
        <v>1</v>
      </c>
      <c r="N71" s="721"/>
      <c r="O71" s="24">
        <f ca="1">(SUMIF($14:$14,N71,$15:$15)-SUMIF($14:$14,$N$23,$15:$15)+100)/100</f>
        <v>1</v>
      </c>
      <c r="P71" s="721"/>
      <c r="Q71" s="24">
        <f ca="1">(SUMIF($16:$16,P71,$17:$17)-SUMIF($16:$16,$P$23,$17:$17)+100)/100</f>
        <v>1</v>
      </c>
      <c r="R71" s="717">
        <f ca="1">IF(B71="",0,ROUND($R$23*C71*E71*G71*I71*K71*M71*O71*Q71,0))</f>
        <v>83603</v>
      </c>
      <c r="S71" s="362">
        <f ca="1">ROUND(R71*B71/10000,0)</f>
        <v>3744</v>
      </c>
      <c r="T71" s="2964" t="s">
        <v>3185</v>
      </c>
      <c r="U71">
        <v>70</v>
      </c>
    </row>
    <row r="72" spans="1:21">
      <c r="A72" s="2937" t="s">
        <v>3121</v>
      </c>
      <c r="B72" s="2937">
        <v>447.82</v>
      </c>
      <c r="C72" s="24">
        <f ca="1">IF(B72="",1,(LOOKUP(B72,$3:$3,$4:$4)-LOOKUP($B$23,$3:$3,$4:$4)+100)/100)</f>
        <v>1</v>
      </c>
      <c r="D72" s="721" t="s">
        <v>3170</v>
      </c>
      <c r="E72" s="24" t="e">
        <f>(SUMIF($5:$5,D72,#REF!)-SUMIF($5:$5,$D$23,#REF!)+100)/100</f>
        <v>#REF!</v>
      </c>
      <c r="F72" s="721" t="s">
        <v>3133</v>
      </c>
      <c r="G72" s="24">
        <f ca="1">(SUMIF($6:$6,F72,$7:$7)-SUMIF($6:$6,$F$23,$7:$7)+100)/100</f>
        <v>1</v>
      </c>
      <c r="H72" s="721" t="s">
        <v>3167</v>
      </c>
      <c r="I72" s="24">
        <f ca="1">(SUMIF($8:$8,H72,$9:$9)-SUMIF($8:$8,$H$23,$9:$9)+100)/100</f>
        <v>1</v>
      </c>
      <c r="J72" s="721"/>
      <c r="K72" s="24">
        <f ca="1">(SUMIF($10:$10,J72,$11:$11)-SUMIF($10:$10,$J$23,$11:$11)+100)/100</f>
        <v>1</v>
      </c>
      <c r="L72" s="721"/>
      <c r="M72" s="24">
        <f ca="1">(SUMIF($12:$12,L72,$13:$13)-SUMIF($12:$12,$L$23,$13:$13)+100)/100</f>
        <v>1</v>
      </c>
      <c r="N72" s="721"/>
      <c r="O72" s="24">
        <f ca="1">(SUMIF($14:$14,N72,$15:$15)-SUMIF($14:$14,$N$23,$15:$15)+100)/100</f>
        <v>1</v>
      </c>
      <c r="P72" s="721"/>
      <c r="Q72" s="24">
        <f ca="1">(SUMIF($16:$16,P72,$17:$17)-SUMIF($16:$16,$P$23,$17:$17)+100)/100</f>
        <v>1</v>
      </c>
      <c r="R72" s="717">
        <f ca="1">IF(B72="",0,ROUND($R$23*C72*E72*G72*I72*K72*M72*O72*Q72,0))</f>
        <v>87584</v>
      </c>
      <c r="S72" s="362">
        <f ca="1">ROUND(R72*B72/10000,0)</f>
        <v>3922</v>
      </c>
      <c r="T72" s="2964" t="s">
        <v>3185</v>
      </c>
      <c r="U72">
        <v>71</v>
      </c>
    </row>
    <row r="73" spans="1:21">
      <c r="A73" s="2937" t="s">
        <v>3080</v>
      </c>
      <c r="B73" s="2937">
        <v>447.82</v>
      </c>
      <c r="C73" s="24">
        <f ca="1">IF(B73="",1,(LOOKUP(B73,$3:$3,$4:$4)-LOOKUP($B$23,$3:$3,$4:$4)+100)/100)</f>
        <v>1</v>
      </c>
      <c r="D73" s="721" t="s">
        <v>3170</v>
      </c>
      <c r="E73" s="24" t="e">
        <f>(SUMIF($5:$5,D73,#REF!)-SUMIF($5:$5,$D$23,#REF!)+100)/100</f>
        <v>#REF!</v>
      </c>
      <c r="F73" s="721" t="s">
        <v>3133</v>
      </c>
      <c r="G73" s="24">
        <f ca="1">(SUMIF($6:$6,F73,$7:$7)-SUMIF($6:$6,$F$23,$7:$7)+100)/100</f>
        <v>1</v>
      </c>
      <c r="H73" s="721" t="s">
        <v>3167</v>
      </c>
      <c r="I73" s="24">
        <f ca="1">(SUMIF($8:$8,H73,$9:$9)-SUMIF($8:$8,$H$23,$9:$9)+100)/100</f>
        <v>1</v>
      </c>
      <c r="J73" s="721"/>
      <c r="K73" s="24">
        <f ca="1">(SUMIF($10:$10,J73,$11:$11)-SUMIF($10:$10,$J$23,$11:$11)+100)/100</f>
        <v>1</v>
      </c>
      <c r="L73" s="721"/>
      <c r="M73" s="24">
        <f ca="1">(SUMIF($12:$12,L73,$13:$13)-SUMIF($12:$12,$L$23,$13:$13)+100)/100</f>
        <v>1</v>
      </c>
      <c r="N73" s="721"/>
      <c r="O73" s="24">
        <f ca="1">(SUMIF($14:$14,N73,$15:$15)-SUMIF($14:$14,$N$23,$15:$15)+100)/100</f>
        <v>1</v>
      </c>
      <c r="P73" s="721"/>
      <c r="Q73" s="24">
        <f ca="1">(SUMIF($16:$16,P73,$17:$17)-SUMIF($16:$16,$P$23,$17:$17)+100)/100</f>
        <v>1</v>
      </c>
      <c r="R73" s="717">
        <f ca="1">IF(B73="",0,ROUND($R$23*C73*E73*G73*I73*K73*M73*O73*Q73,0))</f>
        <v>87584</v>
      </c>
      <c r="S73" s="362">
        <f ca="1">ROUND(R73*B73/10000,0)</f>
        <v>3922</v>
      </c>
      <c r="T73" s="2964" t="s">
        <v>3185</v>
      </c>
      <c r="U73">
        <v>72</v>
      </c>
    </row>
    <row r="74" spans="1:21">
      <c r="A74" s="2937" t="s">
        <v>3084</v>
      </c>
      <c r="B74" s="2937">
        <v>447.63</v>
      </c>
      <c r="C74" s="24">
        <f ca="1">IF(B74="",1,(LOOKUP(B74,$3:$3,$4:$4)-LOOKUP($B$23,$3:$3,$4:$4)+100)/100)</f>
        <v>1</v>
      </c>
      <c r="D74" s="721" t="s">
        <v>3170</v>
      </c>
      <c r="E74" s="24" t="e">
        <f>(SUMIF($5:$5,D74,#REF!)-SUMIF($5:$5,$D$23,#REF!)+100)/100</f>
        <v>#REF!</v>
      </c>
      <c r="F74" s="721" t="s">
        <v>3133</v>
      </c>
      <c r="G74" s="24">
        <f ca="1">(SUMIF($6:$6,F74,$7:$7)-SUMIF($6:$6,$F$23,$7:$7)+100)/100</f>
        <v>1</v>
      </c>
      <c r="H74" s="721" t="s">
        <v>3167</v>
      </c>
      <c r="I74" s="24">
        <f ca="1">(SUMIF($8:$8,H74,$9:$9)-SUMIF($8:$8,$H$23,$9:$9)+100)/100</f>
        <v>1</v>
      </c>
      <c r="J74" s="721"/>
      <c r="K74" s="24">
        <f ca="1">(SUMIF($10:$10,J74,$11:$11)-SUMIF($10:$10,$J$23,$11:$11)+100)/100</f>
        <v>1</v>
      </c>
      <c r="L74" s="721"/>
      <c r="M74" s="24">
        <f ca="1">(SUMIF($12:$12,L74,$13:$13)-SUMIF($12:$12,$L$23,$13:$13)+100)/100</f>
        <v>1</v>
      </c>
      <c r="N74" s="721"/>
      <c r="O74" s="24">
        <f ca="1">(SUMIF($14:$14,N74,$15:$15)-SUMIF($14:$14,$N$23,$15:$15)+100)/100</f>
        <v>1</v>
      </c>
      <c r="P74" s="721"/>
      <c r="Q74" s="24">
        <f ca="1">(SUMIF($16:$16,P74,$17:$17)-SUMIF($16:$16,$P$23,$17:$17)+100)/100</f>
        <v>1</v>
      </c>
      <c r="R74" s="717">
        <f ca="1">IF(B74="",0,ROUND($R$23*C74*E74*G74*I74*K74*M74*O74*Q74,0))</f>
        <v>87584</v>
      </c>
      <c r="S74" s="362">
        <f ca="1">ROUND(R74*B74/10000,0)</f>
        <v>3921</v>
      </c>
      <c r="T74" s="2964" t="s">
        <v>3185</v>
      </c>
      <c r="U74">
        <v>73</v>
      </c>
    </row>
    <row r="75" spans="1:21">
      <c r="A75" s="2937" t="s">
        <v>3088</v>
      </c>
      <c r="B75" s="2937">
        <v>447.63</v>
      </c>
      <c r="C75" s="24">
        <f ca="1">IF(B75="",1,(LOOKUP(B75,$3:$3,$4:$4)-LOOKUP($B$23,$3:$3,$4:$4)+100)/100)</f>
        <v>1</v>
      </c>
      <c r="D75" s="721" t="s">
        <v>3170</v>
      </c>
      <c r="E75" s="24" t="e">
        <f>(SUMIF($5:$5,D75,#REF!)-SUMIF($5:$5,$D$23,#REF!)+100)/100</f>
        <v>#REF!</v>
      </c>
      <c r="F75" s="721" t="s">
        <v>3133</v>
      </c>
      <c r="G75" s="24">
        <f ca="1">(SUMIF($6:$6,F75,$7:$7)-SUMIF($6:$6,$F$23,$7:$7)+100)/100</f>
        <v>1</v>
      </c>
      <c r="H75" s="721" t="s">
        <v>3167</v>
      </c>
      <c r="I75" s="24">
        <f ca="1">(SUMIF($8:$8,H75,$9:$9)-SUMIF($8:$8,$H$23,$9:$9)+100)/100</f>
        <v>1</v>
      </c>
      <c r="J75" s="721"/>
      <c r="K75" s="24">
        <f ca="1">(SUMIF($10:$10,J75,$11:$11)-SUMIF($10:$10,$J$23,$11:$11)+100)/100</f>
        <v>1</v>
      </c>
      <c r="L75" s="721"/>
      <c r="M75" s="24">
        <f ca="1">(SUMIF($12:$12,L75,$13:$13)-SUMIF($12:$12,$L$23,$13:$13)+100)/100</f>
        <v>1</v>
      </c>
      <c r="N75" s="721"/>
      <c r="O75" s="24">
        <f ca="1">(SUMIF($14:$14,N75,$15:$15)-SUMIF($14:$14,$N$23,$15:$15)+100)/100</f>
        <v>1</v>
      </c>
      <c r="P75" s="721"/>
      <c r="Q75" s="24">
        <f ca="1">(SUMIF($16:$16,P75,$17:$17)-SUMIF($16:$16,$P$23,$17:$17)+100)/100</f>
        <v>1</v>
      </c>
      <c r="R75" s="717">
        <f ca="1">IF(B75="",0,ROUND($R$23*C75*E75*G75*I75*K75*M75*O75*Q75,0))</f>
        <v>87584</v>
      </c>
      <c r="S75" s="362">
        <f ca="1">ROUND(R75*B75/10000,0)</f>
        <v>3921</v>
      </c>
      <c r="T75" s="2964" t="s">
        <v>3185</v>
      </c>
      <c r="U75">
        <v>74</v>
      </c>
    </row>
    <row r="76" spans="1:21">
      <c r="A76" s="2937" t="s">
        <v>3089</v>
      </c>
      <c r="B76" s="2937">
        <v>453.43</v>
      </c>
      <c r="C76" s="24">
        <f ca="1">IF(B76="",1,(LOOKUP(B76,$3:$3,$4:$4)-LOOKUP($B$23,$3:$3,$4:$4)+100)/100)</f>
        <v>1</v>
      </c>
      <c r="D76" s="721" t="s">
        <v>3170</v>
      </c>
      <c r="E76" s="24" t="e">
        <f>(SUMIF($5:$5,D76,#REF!)-SUMIF($5:$5,$D$23,#REF!)+100)/100</f>
        <v>#REF!</v>
      </c>
      <c r="F76" s="721" t="s">
        <v>3133</v>
      </c>
      <c r="G76" s="24">
        <f ca="1">(SUMIF($6:$6,F76,$7:$7)-SUMIF($6:$6,$F$23,$7:$7)+100)/100</f>
        <v>1</v>
      </c>
      <c r="H76" s="721" t="s">
        <v>3167</v>
      </c>
      <c r="I76" s="24">
        <f ca="1">(SUMIF($8:$8,H76,$9:$9)-SUMIF($8:$8,$H$23,$9:$9)+100)/100</f>
        <v>1</v>
      </c>
      <c r="J76" s="721"/>
      <c r="K76" s="24">
        <f ca="1">(SUMIF($10:$10,J76,$11:$11)-SUMIF($10:$10,$J$23,$11:$11)+100)/100</f>
        <v>1</v>
      </c>
      <c r="L76" s="721"/>
      <c r="M76" s="24">
        <f ca="1">(SUMIF($12:$12,L76,$13:$13)-SUMIF($12:$12,$L$23,$13:$13)+100)/100</f>
        <v>1</v>
      </c>
      <c r="N76" s="721"/>
      <c r="O76" s="24">
        <f ca="1">(SUMIF($14:$14,N76,$15:$15)-SUMIF($14:$14,$N$23,$15:$15)+100)/100</f>
        <v>1</v>
      </c>
      <c r="P76" s="721"/>
      <c r="Q76" s="24">
        <f ca="1">(SUMIF($16:$16,P76,$17:$17)-SUMIF($16:$16,$P$23,$17:$17)+100)/100</f>
        <v>1</v>
      </c>
      <c r="R76" s="717">
        <f ca="1">IF(B76="",0,ROUND($R$23*C76*E76*G76*I76*K76*M76*O76*Q76,0))</f>
        <v>87584</v>
      </c>
      <c r="S76" s="362">
        <f ca="1">ROUND(R76*B76/10000,0)</f>
        <v>3971</v>
      </c>
      <c r="T76" s="2964" t="s">
        <v>3185</v>
      </c>
      <c r="U76">
        <v>75</v>
      </c>
    </row>
    <row r="77" spans="1:21">
      <c r="A77" s="2937" t="s">
        <v>3090</v>
      </c>
      <c r="B77" s="2937">
        <v>447.63</v>
      </c>
      <c r="C77" s="24">
        <f ca="1">IF(B77="",1,(LOOKUP(B77,$3:$3,$4:$4)-LOOKUP($B$23,$3:$3,$4:$4)+100)/100)</f>
        <v>1</v>
      </c>
      <c r="D77" s="721" t="s">
        <v>3170</v>
      </c>
      <c r="E77" s="24" t="e">
        <f>(SUMIF($5:$5,D77,#REF!)-SUMIF($5:$5,$D$23,#REF!)+100)/100</f>
        <v>#REF!</v>
      </c>
      <c r="F77" s="721" t="s">
        <v>3133</v>
      </c>
      <c r="G77" s="24">
        <f ca="1">(SUMIF($6:$6,F77,$7:$7)-SUMIF($6:$6,$F$23,$7:$7)+100)/100</f>
        <v>1</v>
      </c>
      <c r="H77" s="721" t="s">
        <v>3167</v>
      </c>
      <c r="I77" s="24">
        <f ca="1">(SUMIF($8:$8,H77,$9:$9)-SUMIF($8:$8,$H$23,$9:$9)+100)/100</f>
        <v>1</v>
      </c>
      <c r="J77" s="721"/>
      <c r="K77" s="24">
        <f ca="1">(SUMIF($10:$10,J77,$11:$11)-SUMIF($10:$10,$J$23,$11:$11)+100)/100</f>
        <v>1</v>
      </c>
      <c r="L77" s="721"/>
      <c r="M77" s="24">
        <f ca="1">(SUMIF($12:$12,L77,$13:$13)-SUMIF($12:$12,$L$23,$13:$13)+100)/100</f>
        <v>1</v>
      </c>
      <c r="N77" s="721"/>
      <c r="O77" s="24">
        <f ca="1">(SUMIF($14:$14,N77,$15:$15)-SUMIF($14:$14,$N$23,$15:$15)+100)/100</f>
        <v>1</v>
      </c>
      <c r="P77" s="721"/>
      <c r="Q77" s="24">
        <f ca="1">(SUMIF($16:$16,P77,$17:$17)-SUMIF($16:$16,$P$23,$17:$17)+100)/100</f>
        <v>1</v>
      </c>
      <c r="R77" s="717">
        <f ca="1">IF(B77="",0,ROUND($R$23*C77*E77*G77*I77*K77*M77*O77*Q77,0))</f>
        <v>87584</v>
      </c>
      <c r="S77" s="362">
        <f ca="1">ROUND(R77*B77/10000,0)</f>
        <v>3921</v>
      </c>
      <c r="T77" s="2964" t="s">
        <v>3185</v>
      </c>
      <c r="U77">
        <v>76</v>
      </c>
    </row>
    <row r="78" spans="1:21">
      <c r="A78" s="2937" t="s">
        <v>3091</v>
      </c>
      <c r="B78" s="2937">
        <v>453.43</v>
      </c>
      <c r="C78" s="24">
        <f ca="1">IF(B78="",1,(LOOKUP(B78,$3:$3,$4:$4)-LOOKUP($B$23,$3:$3,$4:$4)+100)/100)</f>
        <v>1</v>
      </c>
      <c r="D78" s="721" t="s">
        <v>3170</v>
      </c>
      <c r="E78" s="24" t="e">
        <f>(SUMIF($5:$5,D78,#REF!)-SUMIF($5:$5,$D$23,#REF!)+100)/100</f>
        <v>#REF!</v>
      </c>
      <c r="F78" s="721" t="s">
        <v>3133</v>
      </c>
      <c r="G78" s="24">
        <f ca="1">(SUMIF($6:$6,F78,$7:$7)-SUMIF($6:$6,$F$23,$7:$7)+100)/100</f>
        <v>1</v>
      </c>
      <c r="H78" s="721" t="s">
        <v>3167</v>
      </c>
      <c r="I78" s="24">
        <f ca="1">(SUMIF($8:$8,H78,$9:$9)-SUMIF($8:$8,$H$23,$9:$9)+100)/100</f>
        <v>1</v>
      </c>
      <c r="J78" s="721"/>
      <c r="K78" s="24">
        <f ca="1">(SUMIF($10:$10,J78,$11:$11)-SUMIF($10:$10,$J$23,$11:$11)+100)/100</f>
        <v>1</v>
      </c>
      <c r="L78" s="721"/>
      <c r="M78" s="24">
        <f ca="1">(SUMIF($12:$12,L78,$13:$13)-SUMIF($12:$12,$L$23,$13:$13)+100)/100</f>
        <v>1</v>
      </c>
      <c r="N78" s="721"/>
      <c r="O78" s="24">
        <f ca="1">(SUMIF($14:$14,N78,$15:$15)-SUMIF($14:$14,$N$23,$15:$15)+100)/100</f>
        <v>1</v>
      </c>
      <c r="P78" s="721"/>
      <c r="Q78" s="24">
        <f ca="1">(SUMIF($16:$16,P78,$17:$17)-SUMIF($16:$16,$P$23,$17:$17)+100)/100</f>
        <v>1</v>
      </c>
      <c r="R78" s="717">
        <f ca="1">IF(B78="",0,ROUND($R$23*C78*E78*G78*I78*K78*M78*O78*Q78,0))</f>
        <v>87584</v>
      </c>
      <c r="S78" s="362">
        <f ca="1">ROUND(R78*B78/10000,0)</f>
        <v>3971</v>
      </c>
      <c r="T78" s="2964" t="s">
        <v>3185</v>
      </c>
      <c r="U78">
        <v>77</v>
      </c>
    </row>
    <row r="79" spans="1:21">
      <c r="A79" s="2937" t="s">
        <v>3070</v>
      </c>
      <c r="B79" s="2937">
        <v>917.11</v>
      </c>
      <c r="C79" s="24">
        <f ca="1">IF(B79="",1,(LOOKUP(B79,$3:$3,$4:$4)-LOOKUP($B$23,$3:$3,$4:$4)+100)/100)</f>
        <v>1.02</v>
      </c>
      <c r="D79" s="721" t="s">
        <v>3170</v>
      </c>
      <c r="E79" s="24" t="e">
        <f>(SUMIF($5:$5,D79,#REF!)-SUMIF($5:$5,$D$23,#REF!)+100)/100</f>
        <v>#REF!</v>
      </c>
      <c r="F79" s="721" t="s">
        <v>3175</v>
      </c>
      <c r="G79" s="24">
        <f ca="1">(SUMIF($6:$6,F79,$7:$7)-SUMIF($6:$6,$F$23,$7:$7)+100)/100</f>
        <v>1.1000000000000001</v>
      </c>
      <c r="H79" s="721" t="s">
        <v>3167</v>
      </c>
      <c r="I79" s="24">
        <f ca="1">(SUMIF($8:$8,H79,$9:$9)-SUMIF($8:$8,$H$23,$9:$9)+100)/100</f>
        <v>1</v>
      </c>
      <c r="J79" s="721"/>
      <c r="K79" s="24">
        <f ca="1">(SUMIF($10:$10,J79,$11:$11)-SUMIF($10:$10,$J$23,$11:$11)+100)/100</f>
        <v>1</v>
      </c>
      <c r="L79" s="721"/>
      <c r="M79" s="24">
        <f ca="1">(SUMIF($12:$12,L79,$13:$13)-SUMIF($12:$12,$L$23,$13:$13)+100)/100</f>
        <v>1</v>
      </c>
      <c r="N79" s="721"/>
      <c r="O79" s="24">
        <f ca="1">(SUMIF($14:$14,N79,$15:$15)-SUMIF($14:$14,$N$23,$15:$15)+100)/100</f>
        <v>1</v>
      </c>
      <c r="P79" s="721"/>
      <c r="Q79" s="24">
        <f ca="1">(SUMIF($16:$16,P79,$17:$17)-SUMIF($16:$16,$P$23,$17:$17)+100)/100</f>
        <v>1</v>
      </c>
      <c r="R79" s="717">
        <f ca="1">IF(B79="",0,ROUND($R$23*C79*E79*G79*I79*K79*M79*O79*Q79,0))</f>
        <v>98269</v>
      </c>
      <c r="S79" s="362">
        <f ca="1">ROUND(R79*B79/10000,0)</f>
        <v>9012</v>
      </c>
      <c r="T79" s="2964" t="s">
        <v>3185</v>
      </c>
      <c r="U79">
        <v>78</v>
      </c>
    </row>
    <row r="80" spans="1:21">
      <c r="A80" s="2937" t="s">
        <v>3188</v>
      </c>
      <c r="B80" s="2937">
        <v>923.06</v>
      </c>
      <c r="C80" s="24">
        <f ca="1">IF(B80="",1,(LOOKUP(B80,$3:$3,$4:$4)-LOOKUP($B$23,$3:$3,$4:$4)+100)/100)</f>
        <v>1.02</v>
      </c>
      <c r="D80" s="721" t="s">
        <v>3170</v>
      </c>
      <c r="E80" s="24" t="e">
        <f>(SUMIF($5:$5,D80,#REF!)-SUMIF($5:$5,$D$23,#REF!)+100)/100</f>
        <v>#REF!</v>
      </c>
      <c r="F80" s="721" t="s">
        <v>3175</v>
      </c>
      <c r="G80" s="24">
        <f ca="1">(SUMIF($6:$6,F80,$7:$7)-SUMIF($6:$6,$F$23,$7:$7)+100)/100</f>
        <v>1.1000000000000001</v>
      </c>
      <c r="H80" s="721" t="s">
        <v>3167</v>
      </c>
      <c r="I80" s="24">
        <f ca="1">(SUMIF($8:$8,H80,$9:$9)-SUMIF($8:$8,$H$23,$9:$9)+100)/100</f>
        <v>1</v>
      </c>
      <c r="J80" s="721"/>
      <c r="K80" s="24">
        <f ca="1">(SUMIF($10:$10,J80,$11:$11)-SUMIF($10:$10,$J$23,$11:$11)+100)/100</f>
        <v>1</v>
      </c>
      <c r="L80" s="721"/>
      <c r="M80" s="24">
        <f ca="1">(SUMIF($12:$12,L80,$13:$13)-SUMIF($12:$12,$L$23,$13:$13)+100)/100</f>
        <v>1</v>
      </c>
      <c r="N80" s="721"/>
      <c r="O80" s="24">
        <f ca="1">(SUMIF($14:$14,N80,$15:$15)-SUMIF($14:$14,$N$23,$15:$15)+100)/100</f>
        <v>1</v>
      </c>
      <c r="P80" s="721"/>
      <c r="Q80" s="24">
        <f ca="1">(SUMIF($16:$16,P80,$17:$17)-SUMIF($16:$16,$P$23,$17:$17)+100)/100</f>
        <v>1</v>
      </c>
      <c r="R80" s="717">
        <f ca="1">IF(B80="",0,ROUND($R$23*C80*E80*G80*I80*K80*M80*O80*Q80,0))</f>
        <v>98269</v>
      </c>
      <c r="S80" s="362">
        <f ca="1">ROUND(R80*B80/10000,0)</f>
        <v>9071</v>
      </c>
      <c r="T80" s="2964" t="s">
        <v>3185</v>
      </c>
      <c r="U80">
        <v>79</v>
      </c>
    </row>
    <row r="81" spans="1:27">
      <c r="A81" s="2966" t="s">
        <v>3191</v>
      </c>
      <c r="B81" s="59">
        <v>445.41</v>
      </c>
      <c r="C81" s="24">
        <f ca="1">IF(B81="",1,(LOOKUP(B81,$3:$3,$4:$4)-LOOKUP($B$23,$3:$3,$4:$4)+100)/100)</f>
        <v>1</v>
      </c>
      <c r="D81" s="721" t="s">
        <v>3170</v>
      </c>
      <c r="E81" s="24" t="e">
        <f>(SUMIF($5:$5,D81,#REF!)-SUMIF($5:$5,$D$23,#REF!)+100)/100</f>
        <v>#REF!</v>
      </c>
      <c r="F81" s="721" t="s">
        <v>3133</v>
      </c>
      <c r="G81" s="24">
        <f ca="1">(SUMIF($6:$6,F81,$7:$7)-SUMIF($6:$6,$F$23,$7:$7)+100)/100</f>
        <v>1</v>
      </c>
      <c r="H81" s="721" t="s">
        <v>3167</v>
      </c>
      <c r="I81" s="24">
        <f ca="1">(SUMIF($8:$8,H81,$9:$9)-SUMIF($8:$8,$H$23,$9:$9)+100)/100</f>
        <v>1</v>
      </c>
      <c r="J81" s="721"/>
      <c r="K81" s="24">
        <f ca="1">(SUMIF($10:$10,J81,$11:$11)-SUMIF($10:$10,$J$23,$11:$11)+100)/100</f>
        <v>1</v>
      </c>
      <c r="L81" s="721"/>
      <c r="M81" s="24">
        <f ca="1">(SUMIF($12:$12,L81,$13:$13)-SUMIF($12:$12,$L$23,$13:$13)+100)/100</f>
        <v>1</v>
      </c>
      <c r="N81" s="721"/>
      <c r="O81" s="24">
        <f ca="1">(SUMIF($14:$14,N81,$15:$15)-SUMIF($14:$14,$N$23,$15:$15)+100)/100</f>
        <v>1</v>
      </c>
      <c r="P81" s="721"/>
      <c r="Q81" s="24">
        <f ca="1">(SUMIF($16:$16,P81,$17:$17)-SUMIF($16:$16,$P$23,$17:$17)+100)/100</f>
        <v>1</v>
      </c>
      <c r="R81" s="717">
        <f ca="1">IF(B81="",0,ROUND($R$23*C81*E81*G81*I81*K81*M81*O81*Q81,0))</f>
        <v>87584</v>
      </c>
      <c r="S81" s="362">
        <f ca="1">ROUND(R81*B81/10000,0)</f>
        <v>3901</v>
      </c>
      <c r="T81" s="2967" t="s">
        <v>3186</v>
      </c>
      <c r="U81">
        <v>80</v>
      </c>
    </row>
    <row r="82" spans="1:27">
      <c r="A82" s="2935" t="s">
        <v>3086</v>
      </c>
      <c r="B82" s="2936">
        <v>514.79999999999995</v>
      </c>
      <c r="C82" s="24">
        <f ca="1">IF(B82="",1,(LOOKUP(B82,$3:$3,$4:$4)-LOOKUP($B$23,$3:$3,$4:$4)+100)/100)</f>
        <v>1</v>
      </c>
      <c r="D82" s="721" t="s">
        <v>3170</v>
      </c>
      <c r="E82" s="24" t="e">
        <f>(SUMIF($5:$5,D82,#REF!)-SUMIF($5:$5,$D$23,#REF!)+100)/100</f>
        <v>#REF!</v>
      </c>
      <c r="F82" s="721" t="s">
        <v>3133</v>
      </c>
      <c r="G82" s="24">
        <f ca="1">(SUMIF($6:$6,F82,$7:$7)-SUMIF($6:$6,$F$23,$7:$7)+100)/100</f>
        <v>1</v>
      </c>
      <c r="H82" s="721" t="s">
        <v>3167</v>
      </c>
      <c r="I82" s="24">
        <f ca="1">(SUMIF($8:$8,H82,$9:$9)-SUMIF($8:$8,$H$23,$9:$9)+100)/100</f>
        <v>1</v>
      </c>
      <c r="J82" s="721"/>
      <c r="K82" s="24">
        <f ca="1">(SUMIF($10:$10,J82,$11:$11)-SUMIF($10:$10,$J$23,$11:$11)+100)/100</f>
        <v>1</v>
      </c>
      <c r="L82" s="721"/>
      <c r="M82" s="24">
        <f ca="1">(SUMIF($12:$12,L82,$13:$13)-SUMIF($12:$12,$L$23,$13:$13)+100)/100</f>
        <v>1</v>
      </c>
      <c r="N82" s="721"/>
      <c r="O82" s="24">
        <f ca="1">(SUMIF($14:$14,N82,$15:$15)-SUMIF($14:$14,$N$23,$15:$15)+100)/100</f>
        <v>1</v>
      </c>
      <c r="P82" s="721"/>
      <c r="Q82" s="24">
        <f ca="1">(SUMIF($16:$16,P82,$17:$17)-SUMIF($16:$16,$P$23,$17:$17)+100)/100</f>
        <v>1</v>
      </c>
      <c r="R82" s="717">
        <f ca="1">IF(B82="",0,ROUND($R$23*C82*E82*G82*I82*K82*M82*O82*Q82,0))</f>
        <v>87584</v>
      </c>
      <c r="S82" s="362">
        <f ca="1">ROUND(R82*B82/10000,0)</f>
        <v>4509</v>
      </c>
      <c r="T82" s="3316" t="s">
        <v>3184</v>
      </c>
      <c r="U82">
        <v>81</v>
      </c>
    </row>
    <row r="83" spans="1:27">
      <c r="A83" s="2935" t="s">
        <v>3087</v>
      </c>
      <c r="B83" s="2936">
        <v>515.91</v>
      </c>
      <c r="C83" s="24">
        <f ca="1">IF(B83="",1,(LOOKUP(B83,$3:$3,$4:$4)-LOOKUP($B$23,$3:$3,$4:$4)+100)/100)</f>
        <v>1</v>
      </c>
      <c r="D83" s="721" t="s">
        <v>3170</v>
      </c>
      <c r="E83" s="24" t="e">
        <f>(SUMIF($5:$5,D83,#REF!)-SUMIF($5:$5,$D$23,#REF!)+100)/100</f>
        <v>#REF!</v>
      </c>
      <c r="F83" s="721" t="s">
        <v>3133</v>
      </c>
      <c r="G83" s="24">
        <f ca="1">(SUMIF($6:$6,F83,$7:$7)-SUMIF($6:$6,$F$23,$7:$7)+100)/100</f>
        <v>1</v>
      </c>
      <c r="H83" s="721" t="s">
        <v>3167</v>
      </c>
      <c r="I83" s="24">
        <f ca="1">(SUMIF($8:$8,H83,$9:$9)-SUMIF($8:$8,$H$23,$9:$9)+100)/100</f>
        <v>1</v>
      </c>
      <c r="J83" s="721"/>
      <c r="K83" s="24">
        <f ca="1">(SUMIF($10:$10,J83,$11:$11)-SUMIF($10:$10,$J$23,$11:$11)+100)/100</f>
        <v>1</v>
      </c>
      <c r="L83" s="721"/>
      <c r="M83" s="24">
        <f ca="1">(SUMIF($12:$12,L83,$13:$13)-SUMIF($12:$12,$L$23,$13:$13)+100)/100</f>
        <v>1</v>
      </c>
      <c r="N83" s="721"/>
      <c r="O83" s="24">
        <f ca="1">(SUMIF($14:$14,N83,$15:$15)-SUMIF($14:$14,$N$23,$15:$15)+100)/100</f>
        <v>1</v>
      </c>
      <c r="P83" s="721"/>
      <c r="Q83" s="24">
        <f ca="1">(SUMIF($16:$16,P83,$17:$17)-SUMIF($16:$16,$P$23,$17:$17)+100)/100</f>
        <v>1</v>
      </c>
      <c r="R83" s="717">
        <f ca="1">IF(B83="",0,ROUND($R$23*C83*E83*G83*I83*K83*M83*O83*Q83,0))</f>
        <v>87584</v>
      </c>
      <c r="S83" s="362">
        <f ca="1">ROUND(R83*B83/10000,0)</f>
        <v>4519</v>
      </c>
      <c r="T83" s="3316" t="s">
        <v>3184</v>
      </c>
      <c r="U83">
        <v>82</v>
      </c>
    </row>
    <row r="84" spans="1:27" ht="14.25" thickBot="1">
      <c r="A84" s="3310" t="s">
        <v>3088</v>
      </c>
      <c r="B84" s="3312">
        <v>514.79999999999995</v>
      </c>
      <c r="C84" s="24">
        <f ca="1">IF(B84="",1,(LOOKUP(B84,$3:$3,$4:$4)-LOOKUP($B$23,$3:$3,$4:$4)+100)/100)</f>
        <v>1</v>
      </c>
      <c r="D84" s="721" t="s">
        <v>3170</v>
      </c>
      <c r="E84" s="24" t="e">
        <f>(SUMIF($5:$5,D84,#REF!)-SUMIF($5:$5,$D$23,#REF!)+100)/100</f>
        <v>#REF!</v>
      </c>
      <c r="F84" s="721" t="s">
        <v>3133</v>
      </c>
      <c r="G84" s="24">
        <f ca="1">(SUMIF($6:$6,F84,$7:$7)-SUMIF($6:$6,$F$23,$7:$7)+100)/100</f>
        <v>1</v>
      </c>
      <c r="H84" s="721" t="s">
        <v>3167</v>
      </c>
      <c r="I84" s="24">
        <f ca="1">(SUMIF($8:$8,H84,$9:$9)-SUMIF($8:$8,$H$23,$9:$9)+100)/100</f>
        <v>1</v>
      </c>
      <c r="J84" s="721"/>
      <c r="K84" s="24">
        <f ca="1">(SUMIF($10:$10,J84,$11:$11)-SUMIF($10:$10,$J$23,$11:$11)+100)/100</f>
        <v>1</v>
      </c>
      <c r="L84" s="721"/>
      <c r="M84" s="24">
        <f ca="1">(SUMIF($12:$12,L84,$13:$13)-SUMIF($12:$12,$L$23,$13:$13)+100)/100</f>
        <v>1</v>
      </c>
      <c r="N84" s="721"/>
      <c r="O84" s="24">
        <f ca="1">(SUMIF($14:$14,N84,$15:$15)-SUMIF($14:$14,$N$23,$15:$15)+100)/100</f>
        <v>1</v>
      </c>
      <c r="P84" s="721"/>
      <c r="Q84" s="24">
        <f ca="1">(SUMIF($16:$16,P84,$17:$17)-SUMIF($16:$16,$P$23,$17:$17)+100)/100</f>
        <v>1</v>
      </c>
      <c r="R84" s="717">
        <f ca="1">IF(B84="",0,ROUND($R$23*C84*E84*G84*I84*K84*M84*O84*Q84,0))</f>
        <v>87584</v>
      </c>
      <c r="S84" s="362">
        <f ca="1">ROUND(R84*B84/10000,0)</f>
        <v>4509</v>
      </c>
      <c r="T84" s="3314" t="s">
        <v>3184</v>
      </c>
      <c r="U84">
        <v>83</v>
      </c>
    </row>
    <row r="85" spans="1:27" ht="14.25" thickBot="1">
      <c r="A85" s="3310" t="s">
        <v>3089</v>
      </c>
      <c r="B85" s="3312">
        <v>515.91</v>
      </c>
      <c r="C85" s="24">
        <f ca="1">IF(B85="",1,(LOOKUP(B85,$3:$3,$4:$4)-LOOKUP($B$23,$3:$3,$4:$4)+100)/100)</f>
        <v>1</v>
      </c>
      <c r="D85" s="721" t="s">
        <v>3170</v>
      </c>
      <c r="E85" s="24" t="e">
        <f>(SUMIF($5:$5,D85,#REF!)-SUMIF($5:$5,$D$23,#REF!)+100)/100</f>
        <v>#REF!</v>
      </c>
      <c r="F85" s="721" t="s">
        <v>3133</v>
      </c>
      <c r="G85" s="24">
        <f ca="1">(SUMIF($6:$6,F85,$7:$7)-SUMIF($6:$6,$F$23,$7:$7)+100)/100</f>
        <v>1</v>
      </c>
      <c r="H85" s="721" t="s">
        <v>3167</v>
      </c>
      <c r="I85" s="24">
        <f ca="1">(SUMIF($8:$8,H85,$9:$9)-SUMIF($8:$8,$H$23,$9:$9)+100)/100</f>
        <v>1</v>
      </c>
      <c r="J85" s="721"/>
      <c r="K85" s="24">
        <f ca="1">(SUMIF($10:$10,J85,$11:$11)-SUMIF($10:$10,$J$23,$11:$11)+100)/100</f>
        <v>1</v>
      </c>
      <c r="L85" s="721"/>
      <c r="M85" s="24">
        <f ca="1">(SUMIF($12:$12,L85,$13:$13)-SUMIF($12:$12,$L$23,$13:$13)+100)/100</f>
        <v>1</v>
      </c>
      <c r="N85" s="721"/>
      <c r="O85" s="24">
        <f ca="1">(SUMIF($14:$14,N85,$15:$15)-SUMIF($14:$14,$N$23,$15:$15)+100)/100</f>
        <v>1</v>
      </c>
      <c r="P85" s="721"/>
      <c r="Q85" s="24">
        <f ca="1">(SUMIF($16:$16,P85,$17:$17)-SUMIF($16:$16,$P$23,$17:$17)+100)/100</f>
        <v>1</v>
      </c>
      <c r="R85" s="717">
        <f ca="1">IF(B85="",0,ROUND($R$23*C85*E85*G85*I85*K85*M85*O85*Q85,0))</f>
        <v>87584</v>
      </c>
      <c r="S85" s="362">
        <f ca="1">ROUND(R85*B85/10000,0)</f>
        <v>4519</v>
      </c>
      <c r="T85" s="3315" t="s">
        <v>3184</v>
      </c>
      <c r="U85">
        <v>84</v>
      </c>
      <c r="AA85" s="3319"/>
    </row>
    <row r="86" spans="1:27" ht="14.25" thickBot="1">
      <c r="A86" s="3310" t="s">
        <v>3090</v>
      </c>
      <c r="B86" s="3312">
        <v>514.79999999999995</v>
      </c>
      <c r="C86" s="24">
        <f ca="1">IF(B86="",1,(LOOKUP(B86,$3:$3,$4:$4)-LOOKUP($B$23,$3:$3,$4:$4)+100)/100)</f>
        <v>1</v>
      </c>
      <c r="D86" s="721" t="s">
        <v>3170</v>
      </c>
      <c r="E86" s="24" t="e">
        <f>(SUMIF($5:$5,D86,#REF!)-SUMIF($5:$5,$D$23,#REF!)+100)/100</f>
        <v>#REF!</v>
      </c>
      <c r="F86" s="721" t="s">
        <v>3133</v>
      </c>
      <c r="G86" s="24">
        <f ca="1">(SUMIF($6:$6,F86,$7:$7)-SUMIF($6:$6,$F$23,$7:$7)+100)/100</f>
        <v>1</v>
      </c>
      <c r="H86" s="721" t="s">
        <v>3167</v>
      </c>
      <c r="I86" s="24">
        <f ca="1">(SUMIF($8:$8,H86,$9:$9)-SUMIF($8:$8,$H$23,$9:$9)+100)/100</f>
        <v>1</v>
      </c>
      <c r="J86" s="721"/>
      <c r="K86" s="24">
        <f ca="1">(SUMIF($10:$10,J86,$11:$11)-SUMIF($10:$10,$J$23,$11:$11)+100)/100</f>
        <v>1</v>
      </c>
      <c r="L86" s="721"/>
      <c r="M86" s="24">
        <f ca="1">(SUMIF($12:$12,L86,$13:$13)-SUMIF($12:$12,$L$23,$13:$13)+100)/100</f>
        <v>1</v>
      </c>
      <c r="N86" s="721"/>
      <c r="O86" s="24">
        <f ca="1">(SUMIF($14:$14,N86,$15:$15)-SUMIF($14:$14,$N$23,$15:$15)+100)/100</f>
        <v>1</v>
      </c>
      <c r="P86" s="721"/>
      <c r="Q86" s="24">
        <f ca="1">(SUMIF($16:$16,P86,$17:$17)-SUMIF($16:$16,$P$23,$17:$17)+100)/100</f>
        <v>1</v>
      </c>
      <c r="R86" s="717">
        <f ca="1">IF(B86="",0,ROUND($R$23*C86*E86*G86*I86*K86*M86*O86*Q86,0))</f>
        <v>87584</v>
      </c>
      <c r="S86" s="362">
        <f ca="1">ROUND(R86*B86/10000,0)</f>
        <v>4509</v>
      </c>
      <c r="T86" s="3314" t="s">
        <v>3184</v>
      </c>
      <c r="U86">
        <v>85</v>
      </c>
      <c r="AA86" s="3319"/>
    </row>
    <row r="87" spans="1:27" ht="14.25" thickBot="1">
      <c r="A87" s="3310" t="s">
        <v>3091</v>
      </c>
      <c r="B87" s="3312">
        <v>515.91</v>
      </c>
      <c r="C87" s="24">
        <f ca="1">IF(B87="",1,(LOOKUP(B87,$3:$3,$4:$4)-LOOKUP($B$23,$3:$3,$4:$4)+100)/100)</f>
        <v>1</v>
      </c>
      <c r="D87" s="721" t="s">
        <v>3170</v>
      </c>
      <c r="E87" s="24" t="e">
        <f>(SUMIF($5:$5,D87,#REF!)-SUMIF($5:$5,$D$23,#REF!)+100)/100</f>
        <v>#REF!</v>
      </c>
      <c r="F87" s="721" t="s">
        <v>3133</v>
      </c>
      <c r="G87" s="24">
        <f ca="1">(SUMIF($6:$6,F87,$7:$7)-SUMIF($6:$6,$F$23,$7:$7)+100)/100</f>
        <v>1</v>
      </c>
      <c r="H87" s="721" t="s">
        <v>3167</v>
      </c>
      <c r="I87" s="24">
        <f ca="1">(SUMIF($8:$8,H87,$9:$9)-SUMIF($8:$8,$H$23,$9:$9)+100)/100</f>
        <v>1</v>
      </c>
      <c r="J87" s="721"/>
      <c r="K87" s="24">
        <f ca="1">(SUMIF($10:$10,J87,$11:$11)-SUMIF($10:$10,$J$23,$11:$11)+100)/100</f>
        <v>1</v>
      </c>
      <c r="L87" s="721"/>
      <c r="M87" s="24">
        <f ca="1">(SUMIF($12:$12,L87,$13:$13)-SUMIF($12:$12,$L$23,$13:$13)+100)/100</f>
        <v>1</v>
      </c>
      <c r="N87" s="721"/>
      <c r="O87" s="24">
        <f ca="1">(SUMIF($14:$14,N87,$15:$15)-SUMIF($14:$14,$N$23,$15:$15)+100)/100</f>
        <v>1</v>
      </c>
      <c r="P87" s="721"/>
      <c r="Q87" s="24">
        <f ca="1">(SUMIF($16:$16,P87,$17:$17)-SUMIF($16:$16,$P$23,$17:$17)+100)/100</f>
        <v>1</v>
      </c>
      <c r="R87" s="717">
        <f ca="1">IF(B87="",0,ROUND($R$23*C87*E87*G87*I87*K87*M87*O87*Q87,0))</f>
        <v>87584</v>
      </c>
      <c r="S87" s="362">
        <f ca="1">ROUND(R87*B87/10000,0)</f>
        <v>4519</v>
      </c>
      <c r="T87" s="3315" t="s">
        <v>3184</v>
      </c>
      <c r="U87">
        <v>86</v>
      </c>
      <c r="AA87" s="3319"/>
    </row>
    <row r="88" spans="1:27" ht="14.25" thickBot="1">
      <c r="A88" s="3310" t="s">
        <v>3070</v>
      </c>
      <c r="B88" s="3310">
        <v>943.7</v>
      </c>
      <c r="C88" s="24">
        <f ca="1">IF(B88="",1,(LOOKUP(B88,$3:$3,$4:$4)-LOOKUP($B$23,$3:$3,$4:$4)+100)/100)</f>
        <v>1.02</v>
      </c>
      <c r="D88" s="721" t="s">
        <v>3170</v>
      </c>
      <c r="E88" s="24" t="e">
        <f>(SUMIF($5:$5,D88,#REF!)-SUMIF($5:$5,$D$23,#REF!)+100)/100</f>
        <v>#REF!</v>
      </c>
      <c r="F88" s="721" t="s">
        <v>3175</v>
      </c>
      <c r="G88" s="24">
        <f ca="1">(SUMIF($6:$6,F88,$7:$7)-SUMIF($6:$6,$F$23,$7:$7)+100)/100</f>
        <v>1.1000000000000001</v>
      </c>
      <c r="H88" s="721" t="s">
        <v>3167</v>
      </c>
      <c r="I88" s="24">
        <f ca="1">(SUMIF($8:$8,H88,$9:$9)-SUMIF($8:$8,$H$23,$9:$9)+100)/100</f>
        <v>1</v>
      </c>
      <c r="J88" s="721"/>
      <c r="K88" s="24">
        <f ca="1">(SUMIF($10:$10,J88,$11:$11)-SUMIF($10:$10,$J$23,$11:$11)+100)/100</f>
        <v>1</v>
      </c>
      <c r="L88" s="721"/>
      <c r="M88" s="24">
        <f ca="1">(SUMIF($12:$12,L88,$13:$13)-SUMIF($12:$12,$L$23,$13:$13)+100)/100</f>
        <v>1</v>
      </c>
      <c r="N88" s="721"/>
      <c r="O88" s="24">
        <f ca="1">(SUMIF($14:$14,N88,$15:$15)-SUMIF($14:$14,$N$23,$15:$15)+100)/100</f>
        <v>1</v>
      </c>
      <c r="P88" s="721"/>
      <c r="Q88" s="24">
        <f ca="1">(SUMIF($16:$16,P88,$17:$17)-SUMIF($16:$16,$P$23,$17:$17)+100)/100</f>
        <v>1</v>
      </c>
      <c r="R88" s="717">
        <f ca="1">IF(B88="",0,ROUND($R$23*C88*E88*G88*I88*K88*M88*O88*Q88,0))</f>
        <v>98269</v>
      </c>
      <c r="S88" s="362">
        <f ca="1">ROUND(R88*B88/10000,0)</f>
        <v>9274</v>
      </c>
      <c r="T88" s="3315" t="s">
        <v>3184</v>
      </c>
      <c r="U88">
        <v>87</v>
      </c>
      <c r="AA88" s="3319"/>
    </row>
    <row r="89" spans="1:27" ht="14.25" thickBot="1">
      <c r="A89" s="3310" t="s">
        <v>3071</v>
      </c>
      <c r="B89" s="3310">
        <v>944.47</v>
      </c>
      <c r="C89" s="24">
        <f ca="1">IF(B89="",1,(LOOKUP(B89,$3:$3,$4:$4)-LOOKUP($B$23,$3:$3,$4:$4)+100)/100)</f>
        <v>1.02</v>
      </c>
      <c r="D89" s="721" t="s">
        <v>3170</v>
      </c>
      <c r="E89" s="24" t="e">
        <f>(SUMIF($5:$5,D89,#REF!)-SUMIF($5:$5,$D$23,#REF!)+100)/100</f>
        <v>#REF!</v>
      </c>
      <c r="F89" s="721" t="s">
        <v>3175</v>
      </c>
      <c r="G89" s="24">
        <f ca="1">(SUMIF($6:$6,F89,$7:$7)-SUMIF($6:$6,$F$23,$7:$7)+100)/100</f>
        <v>1.1000000000000001</v>
      </c>
      <c r="H89" s="721" t="s">
        <v>3167</v>
      </c>
      <c r="I89" s="24">
        <f ca="1">(SUMIF($8:$8,H89,$9:$9)-SUMIF($8:$8,$H$23,$9:$9)+100)/100</f>
        <v>1</v>
      </c>
      <c r="J89" s="721"/>
      <c r="K89" s="24">
        <f ca="1">(SUMIF($10:$10,J89,$11:$11)-SUMIF($10:$10,$J$23,$11:$11)+100)/100</f>
        <v>1</v>
      </c>
      <c r="L89" s="721"/>
      <c r="M89" s="24">
        <f ca="1">(SUMIF($12:$12,L89,$13:$13)-SUMIF($12:$12,$L$23,$13:$13)+100)/100</f>
        <v>1</v>
      </c>
      <c r="N89" s="721"/>
      <c r="O89" s="24">
        <f ca="1">(SUMIF($14:$14,N89,$15:$15)-SUMIF($14:$14,$N$23,$15:$15)+100)/100</f>
        <v>1</v>
      </c>
      <c r="P89" s="721"/>
      <c r="Q89" s="24">
        <f ca="1">(SUMIF($16:$16,P89,$17:$17)-SUMIF($16:$16,$P$23,$17:$17)+100)/100</f>
        <v>1</v>
      </c>
      <c r="R89" s="717">
        <f ca="1">IF(B89="",0,ROUND($R$23*C89*E89*G89*I89*K89*M89*O89*Q89,0))</f>
        <v>98269</v>
      </c>
      <c r="S89" s="362">
        <f ca="1">ROUND(R89*B89/10000,0)</f>
        <v>9281</v>
      </c>
      <c r="T89" s="3315" t="s">
        <v>3184</v>
      </c>
      <c r="U89">
        <v>88</v>
      </c>
      <c r="AA89" s="3319"/>
    </row>
    <row r="90" spans="1:27" ht="14.25" thickBot="1">
      <c r="A90" s="3310" t="s">
        <v>3075</v>
      </c>
      <c r="B90" s="3312">
        <v>514.79999999999995</v>
      </c>
      <c r="C90" s="24">
        <f ca="1">IF(B90="",1,(LOOKUP(B90,$3:$3,$4:$4)-LOOKUP($B$23,$3:$3,$4:$4)+100)/100)</f>
        <v>1</v>
      </c>
      <c r="D90" s="721" t="s">
        <v>3158</v>
      </c>
      <c r="E90" s="24" t="e">
        <f>(SUMIF($5:$5,D90,#REF!)-SUMIF($5:$5,$D$23,#REF!)+100)/100</f>
        <v>#REF!</v>
      </c>
      <c r="F90" s="721" t="s">
        <v>3133</v>
      </c>
      <c r="G90" s="24">
        <f ca="1">(SUMIF($6:$6,F90,$7:$7)-SUMIF($6:$6,$F$23,$7:$7)+100)/100</f>
        <v>1</v>
      </c>
      <c r="H90" s="721" t="s">
        <v>3167</v>
      </c>
      <c r="I90" s="24">
        <f ca="1">(SUMIF($8:$8,H90,$9:$9)-SUMIF($8:$8,$H$23,$9:$9)+100)/100</f>
        <v>1</v>
      </c>
      <c r="J90" s="721"/>
      <c r="K90" s="24">
        <f ca="1">(SUMIF($10:$10,J90,$11:$11)-SUMIF($10:$10,$J$23,$11:$11)+100)/100</f>
        <v>1</v>
      </c>
      <c r="L90" s="721"/>
      <c r="M90" s="24">
        <f ca="1">(SUMIF($12:$12,L90,$13:$13)-SUMIF($12:$12,$L$23,$13:$13)+100)/100</f>
        <v>1</v>
      </c>
      <c r="N90" s="721"/>
      <c r="O90" s="24">
        <f ca="1">(SUMIF($14:$14,N90,$15:$15)-SUMIF($14:$14,$N$23,$15:$15)+100)/100</f>
        <v>1</v>
      </c>
      <c r="P90" s="721"/>
      <c r="Q90" s="24">
        <f ca="1">(SUMIF($16:$16,P90,$17:$17)-SUMIF($16:$16,$P$23,$17:$17)+100)/100</f>
        <v>1</v>
      </c>
      <c r="R90" s="717">
        <f ca="1">IF(B90="",0,ROUND($R$23*C90*E90*G90*I90*K90*M90*O90*Q90,0))</f>
        <v>79622</v>
      </c>
      <c r="S90" s="362">
        <f ca="1">ROUND(R90*B90/10000,0)</f>
        <v>4099</v>
      </c>
      <c r="T90" s="3315" t="s">
        <v>3184</v>
      </c>
      <c r="U90">
        <v>89</v>
      </c>
      <c r="AA90" s="3319"/>
    </row>
    <row r="91" spans="1:27" ht="14.25" thickBot="1">
      <c r="A91" s="3310" t="s">
        <v>3076</v>
      </c>
      <c r="B91" s="3312">
        <v>515.91</v>
      </c>
      <c r="C91" s="24">
        <f ca="1">IF(B91="",1,(LOOKUP(B91,$3:$3,$4:$4)-LOOKUP($B$23,$3:$3,$4:$4)+100)/100)</f>
        <v>1</v>
      </c>
      <c r="D91" s="721" t="s">
        <v>3158</v>
      </c>
      <c r="E91" s="24" t="e">
        <f>(SUMIF($5:$5,D91,#REF!)-SUMIF($5:$5,$D$23,#REF!)+100)/100</f>
        <v>#REF!</v>
      </c>
      <c r="F91" s="721" t="s">
        <v>3133</v>
      </c>
      <c r="G91" s="24">
        <f ca="1">(SUMIF($6:$6,F91,$7:$7)-SUMIF($6:$6,$F$23,$7:$7)+100)/100</f>
        <v>1</v>
      </c>
      <c r="H91" s="721" t="s">
        <v>3167</v>
      </c>
      <c r="I91" s="24">
        <f ca="1">(SUMIF($8:$8,H91,$9:$9)-SUMIF($8:$8,$H$23,$9:$9)+100)/100</f>
        <v>1</v>
      </c>
      <c r="J91" s="721"/>
      <c r="K91" s="24">
        <f ca="1">(SUMIF($10:$10,J91,$11:$11)-SUMIF($10:$10,$J$23,$11:$11)+100)/100</f>
        <v>1</v>
      </c>
      <c r="L91" s="721"/>
      <c r="M91" s="24">
        <f ca="1">(SUMIF($12:$12,L91,$13:$13)-SUMIF($12:$12,$L$23,$13:$13)+100)/100</f>
        <v>1</v>
      </c>
      <c r="N91" s="721"/>
      <c r="O91" s="24">
        <f ca="1">(SUMIF($14:$14,N91,$15:$15)-SUMIF($14:$14,$N$23,$15:$15)+100)/100</f>
        <v>1</v>
      </c>
      <c r="P91" s="721"/>
      <c r="Q91" s="24">
        <f ca="1">(SUMIF($16:$16,P91,$17:$17)-SUMIF($16:$16,$P$23,$17:$17)+100)/100</f>
        <v>1</v>
      </c>
      <c r="R91" s="717">
        <f ca="1">IF(B91="",0,ROUND($R$23*C91*E91*G91*I91*K91*M91*O91*Q91,0))</f>
        <v>79622</v>
      </c>
      <c r="S91" s="362">
        <f ca="1">ROUND(R91*B91/10000,0)</f>
        <v>4108</v>
      </c>
      <c r="T91" s="3315" t="s">
        <v>3184</v>
      </c>
      <c r="U91">
        <v>90</v>
      </c>
      <c r="AA91" s="3319"/>
    </row>
    <row r="92" spans="1:27" ht="14.25" thickBot="1">
      <c r="A92" s="3310" t="s">
        <v>3077</v>
      </c>
      <c r="B92" s="3312">
        <v>514.79999999999995</v>
      </c>
      <c r="C92" s="24">
        <f ca="1">IF(B92="",1,(LOOKUP(B92,$3:$3,$4:$4)-LOOKUP($B$23,$3:$3,$4:$4)+100)/100)</f>
        <v>1</v>
      </c>
      <c r="D92" s="721" t="s">
        <v>3158</v>
      </c>
      <c r="E92" s="24" t="e">
        <f>(SUMIF($5:$5,D92,#REF!)-SUMIF($5:$5,$D$23,#REF!)+100)/100</f>
        <v>#REF!</v>
      </c>
      <c r="F92" s="721" t="s">
        <v>3133</v>
      </c>
      <c r="G92" s="24">
        <f ca="1">(SUMIF($6:$6,F92,$7:$7)-SUMIF($6:$6,$F$23,$7:$7)+100)/100</f>
        <v>1</v>
      </c>
      <c r="H92" s="721" t="s">
        <v>3167</v>
      </c>
      <c r="I92" s="24">
        <f ca="1">(SUMIF($8:$8,H92,$9:$9)-SUMIF($8:$8,$H$23,$9:$9)+100)/100</f>
        <v>1</v>
      </c>
      <c r="J92" s="721"/>
      <c r="K92" s="24">
        <f ca="1">(SUMIF($10:$10,J92,$11:$11)-SUMIF($10:$10,$J$23,$11:$11)+100)/100</f>
        <v>1</v>
      </c>
      <c r="L92" s="721"/>
      <c r="M92" s="24">
        <f ca="1">(SUMIF($12:$12,L92,$13:$13)-SUMIF($12:$12,$L$23,$13:$13)+100)/100</f>
        <v>1</v>
      </c>
      <c r="N92" s="721"/>
      <c r="O92" s="24">
        <f ca="1">(SUMIF($14:$14,N92,$15:$15)-SUMIF($14:$14,$N$23,$15:$15)+100)/100</f>
        <v>1</v>
      </c>
      <c r="P92" s="721"/>
      <c r="Q92" s="24">
        <f ca="1">(SUMIF($16:$16,P92,$17:$17)-SUMIF($16:$16,$P$23,$17:$17)+100)/100</f>
        <v>1</v>
      </c>
      <c r="R92" s="717">
        <f ca="1">IF(B92="",0,ROUND($R$23*C92*E92*G92*I92*K92*M92*O92*Q92,0))</f>
        <v>79622</v>
      </c>
      <c r="S92" s="362">
        <f ca="1">ROUND(R92*B92/10000,0)</f>
        <v>4099</v>
      </c>
      <c r="T92" s="3315" t="s">
        <v>3184</v>
      </c>
      <c r="U92">
        <v>91</v>
      </c>
      <c r="AA92" s="3319"/>
    </row>
    <row r="93" spans="1:27" ht="14.25" thickBot="1">
      <c r="A93" s="3310" t="s">
        <v>3078</v>
      </c>
      <c r="B93" s="3312">
        <v>515.91</v>
      </c>
      <c r="C93" s="24">
        <f ca="1">IF(B93="",1,(LOOKUP(B93,$3:$3,$4:$4)-LOOKUP($B$23,$3:$3,$4:$4)+100)/100)</f>
        <v>1</v>
      </c>
      <c r="D93" s="721" t="s">
        <v>3158</v>
      </c>
      <c r="E93" s="24" t="e">
        <f>(SUMIF($5:$5,D93,#REF!)-SUMIF($5:$5,$D$23,#REF!)+100)/100</f>
        <v>#REF!</v>
      </c>
      <c r="F93" s="721" t="s">
        <v>3133</v>
      </c>
      <c r="G93" s="24">
        <f ca="1">(SUMIF($6:$6,F93,$7:$7)-SUMIF($6:$6,$F$23,$7:$7)+100)/100</f>
        <v>1</v>
      </c>
      <c r="H93" s="721" t="s">
        <v>3167</v>
      </c>
      <c r="I93" s="24">
        <f ca="1">(SUMIF($8:$8,H93,$9:$9)-SUMIF($8:$8,$H$23,$9:$9)+100)/100</f>
        <v>1</v>
      </c>
      <c r="J93" s="721"/>
      <c r="K93" s="24">
        <f ca="1">(SUMIF($10:$10,J93,$11:$11)-SUMIF($10:$10,$J$23,$11:$11)+100)/100</f>
        <v>1</v>
      </c>
      <c r="L93" s="721"/>
      <c r="M93" s="24">
        <f ca="1">(SUMIF($12:$12,L93,$13:$13)-SUMIF($12:$12,$L$23,$13:$13)+100)/100</f>
        <v>1</v>
      </c>
      <c r="N93" s="721"/>
      <c r="O93" s="24">
        <f ca="1">(SUMIF($14:$14,N93,$15:$15)-SUMIF($14:$14,$N$23,$15:$15)+100)/100</f>
        <v>1</v>
      </c>
      <c r="P93" s="721"/>
      <c r="Q93" s="24">
        <f ca="1">(SUMIF($16:$16,P93,$17:$17)-SUMIF($16:$16,$P$23,$17:$17)+100)/100</f>
        <v>1</v>
      </c>
      <c r="R93" s="717">
        <f ca="1">IF(B93="",0,ROUND($R$23*C93*E93*G93*I93*K93*M93*O93*Q93,0))</f>
        <v>79622</v>
      </c>
      <c r="S93" s="362">
        <f ca="1">ROUND(R93*B93/10000,0)</f>
        <v>4108</v>
      </c>
      <c r="T93" s="3315" t="s">
        <v>3184</v>
      </c>
      <c r="U93">
        <v>92</v>
      </c>
      <c r="AA93" s="3319"/>
    </row>
    <row r="94" spans="1:27" ht="14.25" thickBot="1">
      <c r="A94" s="2970" t="s">
        <v>3192</v>
      </c>
      <c r="B94" s="2970">
        <v>445.86</v>
      </c>
      <c r="C94" s="24">
        <f t="shared" ref="C67:C98" ca="1" si="9">IF(B94="",1,(LOOKUP(B94,$3:$3,$4:$4)-LOOKUP($B$23,$3:$3,$4:$4)+100)/100)</f>
        <v>1</v>
      </c>
      <c r="D94" s="721" t="s">
        <v>3163</v>
      </c>
      <c r="E94" s="24" t="e">
        <f>(SUMIF($5:$5,D94,#REF!)-SUMIF($5:$5,$D$23,#REF!)+100)/100</f>
        <v>#REF!</v>
      </c>
      <c r="F94" s="721" t="s">
        <v>3133</v>
      </c>
      <c r="G94" s="24">
        <f t="shared" ref="G67:G105" ca="1" si="10">(SUMIF($6:$6,F94,$7:$7)-SUMIF($6:$6,$F$23,$7:$7)+100)/100</f>
        <v>1</v>
      </c>
      <c r="H94" s="721" t="s">
        <v>3167</v>
      </c>
      <c r="I94" s="24">
        <f t="shared" ref="I67:I105" ca="1" si="11">(SUMIF($8:$8,H94,$9:$9)-SUMIF($8:$8,$H$23,$9:$9)+100)/100</f>
        <v>1</v>
      </c>
      <c r="J94" s="721"/>
      <c r="K94" s="24">
        <f t="shared" ref="K67:K105" ca="1" si="12">(SUMIF($10:$10,J94,$11:$11)-SUMIF($10:$10,$J$23,$11:$11)+100)/100</f>
        <v>1</v>
      </c>
      <c r="L94" s="721"/>
      <c r="M94" s="24">
        <f t="shared" ref="M67:M105" ca="1" si="13">(SUMIF($12:$12,L94,$13:$13)-SUMIF($12:$12,$L$23,$13:$13)+100)/100</f>
        <v>1</v>
      </c>
      <c r="N94" s="721"/>
      <c r="O94" s="24">
        <f t="shared" ref="O67:O105" ca="1" si="14">(SUMIF($14:$14,N94,$15:$15)-SUMIF($14:$14,$N$23,$15:$15)+100)/100</f>
        <v>1</v>
      </c>
      <c r="P94" s="721"/>
      <c r="Q94" s="24">
        <f t="shared" ref="Q67:Q105" ca="1" si="15">(SUMIF($16:$16,P94,$17:$17)-SUMIF($16:$16,$P$23,$17:$17)+100)/100</f>
        <v>1</v>
      </c>
      <c r="R94" s="717">
        <f t="shared" ref="R67:R105" ca="1" si="16">IF(B94="",0,ROUND($R$23*C94*E94*G94*I94*K94*M94*O94*Q94,0))</f>
        <v>83603</v>
      </c>
      <c r="S94" s="362">
        <f t="shared" ref="S65:S105" ca="1" si="17">ROUND(R94*B94/10000,0)</f>
        <v>3728</v>
      </c>
      <c r="T94" s="2968">
        <v>7</v>
      </c>
      <c r="U94">
        <v>93</v>
      </c>
      <c r="AA94" s="2975"/>
    </row>
    <row r="95" spans="1:27" ht="14.25" thickBot="1">
      <c r="A95" s="2970" t="s">
        <v>3202</v>
      </c>
      <c r="B95" s="2970">
        <v>449.89</v>
      </c>
      <c r="C95" s="24">
        <f t="shared" ca="1" si="9"/>
        <v>1</v>
      </c>
      <c r="D95" s="721" t="s">
        <v>3163</v>
      </c>
      <c r="E95" s="24" t="e">
        <f>(SUMIF($5:$5,D95,#REF!)-SUMIF($5:$5,$D$23,#REF!)+100)/100</f>
        <v>#REF!</v>
      </c>
      <c r="F95" s="721" t="s">
        <v>3133</v>
      </c>
      <c r="G95" s="24">
        <f t="shared" ca="1" si="10"/>
        <v>1</v>
      </c>
      <c r="H95" s="721" t="s">
        <v>3167</v>
      </c>
      <c r="I95" s="24">
        <f t="shared" ca="1" si="11"/>
        <v>1</v>
      </c>
      <c r="J95" s="721"/>
      <c r="K95" s="24">
        <f t="shared" ca="1" si="12"/>
        <v>1</v>
      </c>
      <c r="L95" s="721"/>
      <c r="M95" s="24">
        <f t="shared" ca="1" si="13"/>
        <v>1</v>
      </c>
      <c r="N95" s="721"/>
      <c r="O95" s="24">
        <f t="shared" ca="1" si="14"/>
        <v>1</v>
      </c>
      <c r="P95" s="721"/>
      <c r="Q95" s="24">
        <f t="shared" ca="1" si="15"/>
        <v>1</v>
      </c>
      <c r="R95" s="717">
        <f t="shared" ca="1" si="16"/>
        <v>83603</v>
      </c>
      <c r="S95" s="362">
        <f t="shared" ca="1" si="17"/>
        <v>3761</v>
      </c>
      <c r="T95" s="2968">
        <v>7</v>
      </c>
      <c r="U95">
        <v>94</v>
      </c>
      <c r="AA95" s="2975"/>
    </row>
    <row r="96" spans="1:27" ht="14.25" thickBot="1">
      <c r="A96" s="2970" t="s">
        <v>3203</v>
      </c>
      <c r="B96" s="2970">
        <v>445.86</v>
      </c>
      <c r="C96" s="24">
        <f t="shared" ca="1" si="9"/>
        <v>1</v>
      </c>
      <c r="D96" s="721" t="s">
        <v>3163</v>
      </c>
      <c r="E96" s="24" t="e">
        <f>(SUMIF($5:$5,D96,#REF!)-SUMIF($5:$5,$D$23,#REF!)+100)/100</f>
        <v>#REF!</v>
      </c>
      <c r="F96" s="721" t="s">
        <v>3133</v>
      </c>
      <c r="G96" s="24">
        <f t="shared" ca="1" si="10"/>
        <v>1</v>
      </c>
      <c r="H96" s="721" t="s">
        <v>3167</v>
      </c>
      <c r="I96" s="24">
        <f t="shared" ca="1" si="11"/>
        <v>1</v>
      </c>
      <c r="J96" s="721"/>
      <c r="K96" s="24">
        <f t="shared" ca="1" si="12"/>
        <v>1</v>
      </c>
      <c r="L96" s="721"/>
      <c r="M96" s="24">
        <f t="shared" ca="1" si="13"/>
        <v>1</v>
      </c>
      <c r="N96" s="721"/>
      <c r="O96" s="24">
        <f t="shared" ca="1" si="14"/>
        <v>1</v>
      </c>
      <c r="P96" s="721"/>
      <c r="Q96" s="24">
        <f t="shared" ca="1" si="15"/>
        <v>1</v>
      </c>
      <c r="R96" s="717">
        <f t="shared" ca="1" si="16"/>
        <v>83603</v>
      </c>
      <c r="S96" s="362">
        <f t="shared" ca="1" si="17"/>
        <v>3728</v>
      </c>
      <c r="T96" s="2968">
        <v>7</v>
      </c>
      <c r="U96">
        <v>95</v>
      </c>
      <c r="AA96" s="2975"/>
    </row>
    <row r="97" spans="1:27" ht="14.25" thickBot="1">
      <c r="A97" s="2970" t="s">
        <v>3204</v>
      </c>
      <c r="B97" s="2970">
        <v>445.86</v>
      </c>
      <c r="C97" s="24">
        <f t="shared" ca="1" si="9"/>
        <v>1</v>
      </c>
      <c r="D97" s="721" t="s">
        <v>3163</v>
      </c>
      <c r="E97" s="24" t="e">
        <f>(SUMIF($5:$5,D97,#REF!)-SUMIF($5:$5,$D$23,#REF!)+100)/100</f>
        <v>#REF!</v>
      </c>
      <c r="F97" s="721" t="s">
        <v>3133</v>
      </c>
      <c r="G97" s="24">
        <f t="shared" ca="1" si="10"/>
        <v>1</v>
      </c>
      <c r="H97" s="721" t="s">
        <v>3167</v>
      </c>
      <c r="I97" s="24">
        <f t="shared" ca="1" si="11"/>
        <v>1</v>
      </c>
      <c r="J97" s="721"/>
      <c r="K97" s="24">
        <f t="shared" ca="1" si="12"/>
        <v>1</v>
      </c>
      <c r="L97" s="721"/>
      <c r="M97" s="24">
        <f t="shared" ca="1" si="13"/>
        <v>1</v>
      </c>
      <c r="N97" s="721"/>
      <c r="O97" s="24">
        <f t="shared" ca="1" si="14"/>
        <v>1</v>
      </c>
      <c r="P97" s="721"/>
      <c r="Q97" s="24">
        <f t="shared" ca="1" si="15"/>
        <v>1</v>
      </c>
      <c r="R97" s="717">
        <f t="shared" ca="1" si="16"/>
        <v>83603</v>
      </c>
      <c r="S97" s="362">
        <f t="shared" ca="1" si="17"/>
        <v>3728</v>
      </c>
      <c r="T97" s="2968">
        <v>7</v>
      </c>
      <c r="U97">
        <v>96</v>
      </c>
      <c r="AA97" s="2975"/>
    </row>
    <row r="98" spans="1:27" ht="14.25" thickBot="1">
      <c r="A98" s="2971" t="s">
        <v>3205</v>
      </c>
      <c r="B98" s="2971">
        <v>449.89</v>
      </c>
      <c r="C98" s="24">
        <f t="shared" ca="1" si="9"/>
        <v>1</v>
      </c>
      <c r="D98" s="721" t="s">
        <v>3163</v>
      </c>
      <c r="E98" s="24" t="e">
        <f>(SUMIF($5:$5,D98,#REF!)-SUMIF($5:$5,$D$23,#REF!)+100)/100</f>
        <v>#REF!</v>
      </c>
      <c r="F98" s="721" t="s">
        <v>3133</v>
      </c>
      <c r="G98" s="24">
        <f t="shared" ca="1" si="10"/>
        <v>1</v>
      </c>
      <c r="H98" s="721" t="s">
        <v>3167</v>
      </c>
      <c r="I98" s="24">
        <f t="shared" ca="1" si="11"/>
        <v>1</v>
      </c>
      <c r="J98" s="721"/>
      <c r="K98" s="24">
        <f t="shared" ca="1" si="12"/>
        <v>1</v>
      </c>
      <c r="L98" s="721"/>
      <c r="M98" s="24">
        <f t="shared" ca="1" si="13"/>
        <v>1</v>
      </c>
      <c r="N98" s="721"/>
      <c r="O98" s="24">
        <f t="shared" ca="1" si="14"/>
        <v>1</v>
      </c>
      <c r="P98" s="721"/>
      <c r="Q98" s="24">
        <f t="shared" ca="1" si="15"/>
        <v>1</v>
      </c>
      <c r="R98" s="717">
        <f t="shared" ca="1" si="16"/>
        <v>83603</v>
      </c>
      <c r="S98" s="362">
        <f t="shared" ca="1" si="17"/>
        <v>3761</v>
      </c>
      <c r="T98" s="2969">
        <v>7</v>
      </c>
      <c r="U98">
        <v>97</v>
      </c>
      <c r="AA98" s="2975"/>
    </row>
    <row r="99" spans="1:27" ht="14.25" thickBot="1">
      <c r="A99" s="2970" t="s">
        <v>3206</v>
      </c>
      <c r="B99" s="2970">
        <v>449.89</v>
      </c>
      <c r="C99" s="24">
        <f t="shared" ref="C99:C130" ca="1" si="18">IF(B99="",1,(LOOKUP(B99,$3:$3,$4:$4)-LOOKUP($B$23,$3:$3,$4:$4)+100)/100)</f>
        <v>1</v>
      </c>
      <c r="D99" s="721" t="s">
        <v>3170</v>
      </c>
      <c r="E99" s="24" t="e">
        <f>(SUMIF($5:$5,D99,#REF!)-SUMIF($5:$5,$D$23,#REF!)+100)/100</f>
        <v>#REF!</v>
      </c>
      <c r="F99" s="721" t="s">
        <v>3133</v>
      </c>
      <c r="G99" s="24">
        <f t="shared" ca="1" si="10"/>
        <v>1</v>
      </c>
      <c r="H99" s="721" t="s">
        <v>3167</v>
      </c>
      <c r="I99" s="24">
        <f t="shared" ca="1" si="11"/>
        <v>1</v>
      </c>
      <c r="J99" s="721"/>
      <c r="K99" s="24">
        <f t="shared" ca="1" si="12"/>
        <v>1</v>
      </c>
      <c r="L99" s="721"/>
      <c r="M99" s="24">
        <f t="shared" ca="1" si="13"/>
        <v>1</v>
      </c>
      <c r="N99" s="721"/>
      <c r="O99" s="24">
        <f t="shared" ca="1" si="14"/>
        <v>1</v>
      </c>
      <c r="P99" s="721"/>
      <c r="Q99" s="24">
        <f t="shared" ca="1" si="15"/>
        <v>1</v>
      </c>
      <c r="R99" s="717">
        <f t="shared" ca="1" si="16"/>
        <v>87584</v>
      </c>
      <c r="S99" s="362">
        <f t="shared" ca="1" si="17"/>
        <v>3940</v>
      </c>
      <c r="T99" s="2968">
        <v>7</v>
      </c>
      <c r="U99">
        <v>98</v>
      </c>
      <c r="AA99" s="2975"/>
    </row>
    <row r="100" spans="1:27" ht="14.25" thickBot="1">
      <c r="A100" s="2971" t="s">
        <v>3207</v>
      </c>
      <c r="B100" s="2971">
        <v>449.44</v>
      </c>
      <c r="C100" s="24">
        <f t="shared" ca="1" si="18"/>
        <v>1</v>
      </c>
      <c r="D100" s="721" t="s">
        <v>3170</v>
      </c>
      <c r="E100" s="24" t="e">
        <f>(SUMIF($5:$5,D100,#REF!)-SUMIF($5:$5,$D$23,#REF!)+100)/100</f>
        <v>#REF!</v>
      </c>
      <c r="F100" s="721" t="s">
        <v>3133</v>
      </c>
      <c r="G100" s="24">
        <f t="shared" ca="1" si="10"/>
        <v>1</v>
      </c>
      <c r="H100" s="721" t="s">
        <v>3167</v>
      </c>
      <c r="I100" s="24">
        <f t="shared" ca="1" si="11"/>
        <v>1</v>
      </c>
      <c r="J100" s="721"/>
      <c r="K100" s="24">
        <f t="shared" ca="1" si="12"/>
        <v>1</v>
      </c>
      <c r="L100" s="721"/>
      <c r="M100" s="24">
        <f t="shared" ca="1" si="13"/>
        <v>1</v>
      </c>
      <c r="N100" s="721"/>
      <c r="O100" s="24">
        <f t="shared" ca="1" si="14"/>
        <v>1</v>
      </c>
      <c r="P100" s="721"/>
      <c r="Q100" s="24">
        <f t="shared" ca="1" si="15"/>
        <v>1</v>
      </c>
      <c r="R100" s="717">
        <f t="shared" ca="1" si="16"/>
        <v>87584</v>
      </c>
      <c r="S100" s="362">
        <f t="shared" ca="1" si="17"/>
        <v>3936</v>
      </c>
      <c r="T100" s="2969">
        <v>7</v>
      </c>
      <c r="U100">
        <v>99</v>
      </c>
      <c r="AA100" s="2975"/>
    </row>
    <row r="101" spans="1:27" ht="14.25" thickBot="1">
      <c r="A101" s="2971" t="s">
        <v>3208</v>
      </c>
      <c r="B101" s="2971">
        <v>445.86</v>
      </c>
      <c r="C101" s="24">
        <f t="shared" ca="1" si="18"/>
        <v>1</v>
      </c>
      <c r="D101" s="721" t="s">
        <v>3158</v>
      </c>
      <c r="E101" s="24" t="e">
        <f>(SUMIF($5:$5,D101,#REF!)-SUMIF($5:$5,$D$23,#REF!)+100)/100</f>
        <v>#REF!</v>
      </c>
      <c r="F101" s="721" t="s">
        <v>3133</v>
      </c>
      <c r="G101" s="24">
        <f t="shared" ca="1" si="10"/>
        <v>1</v>
      </c>
      <c r="H101" s="721" t="s">
        <v>3167</v>
      </c>
      <c r="I101" s="24">
        <f t="shared" ca="1" si="11"/>
        <v>1</v>
      </c>
      <c r="J101" s="721"/>
      <c r="K101" s="24">
        <f t="shared" ca="1" si="12"/>
        <v>1</v>
      </c>
      <c r="L101" s="721"/>
      <c r="M101" s="24">
        <f t="shared" ca="1" si="13"/>
        <v>1</v>
      </c>
      <c r="N101" s="721"/>
      <c r="O101" s="24">
        <f t="shared" ca="1" si="14"/>
        <v>1</v>
      </c>
      <c r="P101" s="721"/>
      <c r="Q101" s="24">
        <f t="shared" ca="1" si="15"/>
        <v>1</v>
      </c>
      <c r="R101" s="717">
        <f t="shared" ca="1" si="16"/>
        <v>79622</v>
      </c>
      <c r="S101" s="362">
        <f t="shared" ca="1" si="17"/>
        <v>3550</v>
      </c>
      <c r="T101" s="2969">
        <v>7</v>
      </c>
      <c r="U101">
        <v>100</v>
      </c>
      <c r="AA101" s="2975"/>
    </row>
    <row r="102" spans="1:27" ht="14.25" thickBot="1">
      <c r="A102" s="2971" t="s">
        <v>3209</v>
      </c>
      <c r="B102" s="2971">
        <v>445.86</v>
      </c>
      <c r="C102" s="24">
        <f t="shared" ca="1" si="18"/>
        <v>1</v>
      </c>
      <c r="D102" s="721" t="s">
        <v>3170</v>
      </c>
      <c r="E102" s="24" t="e">
        <f>(SUMIF($5:$5,D102,#REF!)-SUMIF($5:$5,$D$23,#REF!)+100)/100</f>
        <v>#REF!</v>
      </c>
      <c r="F102" s="721" t="s">
        <v>3133</v>
      </c>
      <c r="G102" s="24">
        <f t="shared" ca="1" si="10"/>
        <v>1</v>
      </c>
      <c r="H102" s="721" t="s">
        <v>3167</v>
      </c>
      <c r="I102" s="24">
        <f t="shared" ca="1" si="11"/>
        <v>1</v>
      </c>
      <c r="J102" s="721"/>
      <c r="K102" s="24">
        <f t="shared" ca="1" si="12"/>
        <v>1</v>
      </c>
      <c r="L102" s="721"/>
      <c r="M102" s="24">
        <f t="shared" ca="1" si="13"/>
        <v>1</v>
      </c>
      <c r="N102" s="721"/>
      <c r="O102" s="24">
        <f t="shared" ca="1" si="14"/>
        <v>1</v>
      </c>
      <c r="P102" s="721"/>
      <c r="Q102" s="24">
        <f t="shared" ca="1" si="15"/>
        <v>1</v>
      </c>
      <c r="R102" s="717">
        <f t="shared" ca="1" si="16"/>
        <v>87584</v>
      </c>
      <c r="S102" s="362">
        <f t="shared" ca="1" si="17"/>
        <v>3905</v>
      </c>
      <c r="T102" s="2969">
        <v>7</v>
      </c>
      <c r="U102">
        <v>101</v>
      </c>
      <c r="AA102" s="2975"/>
    </row>
    <row r="103" spans="1:27" ht="14.25" thickBot="1">
      <c r="A103" s="2971" t="s">
        <v>3210</v>
      </c>
      <c r="B103" s="2971">
        <v>449.54</v>
      </c>
      <c r="C103" s="24">
        <f t="shared" ca="1" si="18"/>
        <v>1</v>
      </c>
      <c r="D103" s="721" t="s">
        <v>3158</v>
      </c>
      <c r="E103" s="24" t="e">
        <f>(SUMIF($5:$5,D103,#REF!)-SUMIF($5:$5,$D$23,#REF!)+100)/100</f>
        <v>#REF!</v>
      </c>
      <c r="F103" s="721" t="s">
        <v>3133</v>
      </c>
      <c r="G103" s="24">
        <f t="shared" ca="1" si="10"/>
        <v>1</v>
      </c>
      <c r="H103" s="721" t="s">
        <v>3167</v>
      </c>
      <c r="I103" s="24">
        <f t="shared" ca="1" si="11"/>
        <v>1</v>
      </c>
      <c r="J103" s="721"/>
      <c r="K103" s="24">
        <f t="shared" ca="1" si="12"/>
        <v>1</v>
      </c>
      <c r="L103" s="721"/>
      <c r="M103" s="24">
        <f t="shared" ca="1" si="13"/>
        <v>1</v>
      </c>
      <c r="N103" s="721"/>
      <c r="O103" s="24">
        <f t="shared" ca="1" si="14"/>
        <v>1</v>
      </c>
      <c r="P103" s="721"/>
      <c r="Q103" s="24">
        <f t="shared" ca="1" si="15"/>
        <v>1</v>
      </c>
      <c r="R103" s="717">
        <f t="shared" ca="1" si="16"/>
        <v>79622</v>
      </c>
      <c r="S103" s="362">
        <f t="shared" ca="1" si="17"/>
        <v>3579</v>
      </c>
      <c r="T103" s="2969">
        <v>7</v>
      </c>
      <c r="U103">
        <v>102</v>
      </c>
      <c r="AA103" s="2975"/>
    </row>
    <row r="104" spans="1:27" ht="14.25" thickBot="1">
      <c r="A104" s="2971" t="s">
        <v>3211</v>
      </c>
      <c r="B104" s="2971">
        <v>449.89</v>
      </c>
      <c r="C104" s="24">
        <f t="shared" ca="1" si="18"/>
        <v>1</v>
      </c>
      <c r="D104" s="721" t="s">
        <v>3170</v>
      </c>
      <c r="E104" s="24" t="e">
        <f>(SUMIF($5:$5,D104,#REF!)-SUMIF($5:$5,$D$23,#REF!)+100)/100</f>
        <v>#REF!</v>
      </c>
      <c r="F104" s="721" t="s">
        <v>3133</v>
      </c>
      <c r="G104" s="24">
        <f t="shared" ca="1" si="10"/>
        <v>1</v>
      </c>
      <c r="H104" s="721" t="s">
        <v>3167</v>
      </c>
      <c r="I104" s="24">
        <f t="shared" ca="1" si="11"/>
        <v>1</v>
      </c>
      <c r="J104" s="721"/>
      <c r="K104" s="24">
        <f t="shared" ca="1" si="12"/>
        <v>1</v>
      </c>
      <c r="L104" s="721"/>
      <c r="M104" s="24">
        <f t="shared" ca="1" si="13"/>
        <v>1</v>
      </c>
      <c r="N104" s="721"/>
      <c r="O104" s="24">
        <f t="shared" ca="1" si="14"/>
        <v>1</v>
      </c>
      <c r="P104" s="721"/>
      <c r="Q104" s="24">
        <f t="shared" ca="1" si="15"/>
        <v>1</v>
      </c>
      <c r="R104" s="717">
        <f t="shared" ca="1" si="16"/>
        <v>87584</v>
      </c>
      <c r="S104" s="362">
        <f t="shared" ca="1" si="17"/>
        <v>3940</v>
      </c>
      <c r="T104" s="2969">
        <v>7</v>
      </c>
      <c r="U104">
        <v>103</v>
      </c>
    </row>
    <row r="105" spans="1:27" ht="14.25" thickBot="1">
      <c r="A105" s="2970" t="s">
        <v>3212</v>
      </c>
      <c r="B105" s="2970">
        <v>445.86</v>
      </c>
      <c r="C105" s="24">
        <f t="shared" ca="1" si="18"/>
        <v>1</v>
      </c>
      <c r="D105" s="721" t="s">
        <v>3170</v>
      </c>
      <c r="E105" s="24" t="e">
        <f>(SUMIF($5:$5,D105,#REF!)-SUMIF($5:$5,$D$23,#REF!)+100)/100</f>
        <v>#REF!</v>
      </c>
      <c r="F105" s="721" t="s">
        <v>3133</v>
      </c>
      <c r="G105" s="24">
        <f t="shared" ca="1" si="10"/>
        <v>1</v>
      </c>
      <c r="H105" s="721" t="s">
        <v>3167</v>
      </c>
      <c r="I105" s="24">
        <f t="shared" ca="1" si="11"/>
        <v>1</v>
      </c>
      <c r="J105" s="721"/>
      <c r="K105" s="24">
        <f t="shared" ca="1" si="12"/>
        <v>1</v>
      </c>
      <c r="L105" s="721"/>
      <c r="M105" s="24">
        <f t="shared" ca="1" si="13"/>
        <v>1</v>
      </c>
      <c r="N105" s="721"/>
      <c r="O105" s="24">
        <f t="shared" ca="1" si="14"/>
        <v>1</v>
      </c>
      <c r="P105" s="721"/>
      <c r="Q105" s="24">
        <f t="shared" ca="1" si="15"/>
        <v>1</v>
      </c>
      <c r="R105" s="717">
        <f t="shared" ca="1" si="16"/>
        <v>87584</v>
      </c>
      <c r="S105" s="362">
        <f t="shared" ca="1" si="17"/>
        <v>3905</v>
      </c>
      <c r="T105" s="2968">
        <v>7</v>
      </c>
      <c r="U105">
        <v>104</v>
      </c>
    </row>
    <row r="114" spans="2:26" ht="14.25" thickBot="1">
      <c r="W114" s="2975"/>
      <c r="Z114" s="2975"/>
    </row>
    <row r="115" spans="2:26" ht="14.25" thickBot="1">
      <c r="W115" s="2975"/>
      <c r="Z115" s="2975"/>
    </row>
    <row r="116" spans="2:26" ht="14.25" thickBot="1">
      <c r="W116" s="2975"/>
      <c r="Z116" s="2975"/>
    </row>
    <row r="117" spans="2:26" ht="14.25" thickBot="1">
      <c r="S117" s="2975"/>
      <c r="W117" s="2975"/>
      <c r="Z117" s="2975"/>
    </row>
    <row r="118" spans="2:26" ht="14.25" thickBot="1">
      <c r="S118" s="2975"/>
      <c r="W118" s="2975"/>
      <c r="Z118" s="2975"/>
    </row>
    <row r="119" spans="2:26" ht="14.25" thickBot="1">
      <c r="S119" s="2975"/>
      <c r="W119" s="2975"/>
      <c r="Z119" s="2975"/>
    </row>
    <row r="120" spans="2:26" ht="14.25" thickBot="1">
      <c r="S120" s="2975"/>
      <c r="W120" s="2975"/>
      <c r="Z120" s="2975"/>
    </row>
    <row r="121" spans="2:26" ht="14.25" thickBot="1">
      <c r="S121" s="2975"/>
      <c r="W121" s="2975"/>
      <c r="Z121" s="2975"/>
    </row>
    <row r="122" spans="2:26" ht="14.25" thickBot="1">
      <c r="S122" s="2975"/>
      <c r="W122" s="2975"/>
      <c r="Z122" s="2975"/>
    </row>
    <row r="123" spans="2:26" ht="14.25" thickBot="1">
      <c r="S123" s="2975"/>
      <c r="W123" s="2975"/>
      <c r="Z123" s="2975"/>
    </row>
    <row r="124" spans="2:26" ht="14.25" thickBot="1">
      <c r="S124" s="2975"/>
      <c r="W124" s="2975"/>
      <c r="Z124" s="2975"/>
    </row>
    <row r="125" spans="2:26" ht="14.25" thickBot="1">
      <c r="U125" s="2975"/>
      <c r="W125" s="2975"/>
      <c r="Z125" s="2975"/>
    </row>
    <row r="126" spans="2:26" ht="14.25" thickBot="1">
      <c r="U126" s="2975"/>
      <c r="W126" s="2975"/>
      <c r="Z126" s="2975"/>
    </row>
    <row r="127" spans="2:26" ht="14.25" thickBot="1">
      <c r="U127" s="2975"/>
      <c r="W127" s="2975"/>
      <c r="Z127" s="2975"/>
    </row>
    <row r="128" spans="2:26" ht="14.25" thickBot="1">
      <c r="B128" s="2975"/>
      <c r="U128" s="2975"/>
      <c r="W128" s="2975"/>
      <c r="Z128" s="2975"/>
    </row>
    <row r="129" spans="2:26" ht="14.25" thickBot="1">
      <c r="B129" s="2975"/>
      <c r="U129" s="2975"/>
      <c r="W129" s="2975"/>
      <c r="Z129" s="2975"/>
    </row>
    <row r="130" spans="2:26" ht="14.25" thickBot="1">
      <c r="B130" s="2975"/>
      <c r="U130" s="2975"/>
      <c r="W130" s="2975"/>
      <c r="Z130" s="2975"/>
    </row>
    <row r="131" spans="2:26" ht="14.25" thickBot="1">
      <c r="B131" s="2975"/>
      <c r="U131" s="2975"/>
      <c r="W131" s="2975"/>
      <c r="Z131" s="2975"/>
    </row>
    <row r="132" spans="2:26" ht="14.25" thickBot="1">
      <c r="B132" s="2975"/>
      <c r="U132" s="2975"/>
      <c r="W132" s="2975"/>
      <c r="Z132" s="2975"/>
    </row>
    <row r="133" spans="2:26" ht="14.25" thickBot="1">
      <c r="B133" s="2975"/>
      <c r="U133" s="2975"/>
      <c r="Z133" s="2975"/>
    </row>
    <row r="134" spans="2:26" ht="14.25" thickBot="1">
      <c r="B134" s="2975"/>
      <c r="U134" s="2975"/>
    </row>
    <row r="135" spans="2:26" ht="14.25" thickBot="1">
      <c r="B135" s="2975"/>
      <c r="U135" s="2975"/>
    </row>
    <row r="136" spans="2:26" ht="14.25" thickBot="1">
      <c r="B136" s="2975"/>
      <c r="U136" s="2975"/>
    </row>
    <row r="137" spans="2:26" ht="14.25" thickBot="1">
      <c r="B137" s="2975"/>
      <c r="U137" s="2975"/>
      <c r="Z137" s="2975"/>
    </row>
    <row r="138" spans="2:26" ht="14.25" thickBot="1">
      <c r="B138" s="2975"/>
      <c r="U138" s="2975"/>
      <c r="Z138" s="2975"/>
    </row>
    <row r="139" spans="2:26" ht="14.25" thickBot="1">
      <c r="B139" s="2975"/>
      <c r="U139" s="2975"/>
      <c r="Z139" s="2975"/>
    </row>
    <row r="140" spans="2:26" ht="14.25" thickBot="1">
      <c r="B140" s="2975"/>
      <c r="U140" s="2975"/>
      <c r="Z140" s="2975"/>
    </row>
    <row r="141" spans="2:26" ht="14.25" thickBot="1">
      <c r="B141" s="2975"/>
      <c r="U141" s="2975"/>
      <c r="Z141" s="2975"/>
    </row>
    <row r="142" spans="2:26" ht="14.25" thickBot="1">
      <c r="B142" s="2975"/>
      <c r="U142" s="2975"/>
      <c r="Z142" s="2975"/>
    </row>
    <row r="143" spans="2:26" ht="14.25" thickBot="1">
      <c r="B143" s="2975"/>
      <c r="U143" s="2975"/>
      <c r="Z143" s="2975"/>
    </row>
    <row r="144" spans="2:26" ht="14.25" thickBot="1">
      <c r="B144" s="2975"/>
      <c r="U144" s="2975"/>
      <c r="Z144" s="2975"/>
    </row>
    <row r="145" spans="2:26" ht="14.25" thickBot="1">
      <c r="B145" s="2975"/>
      <c r="U145" s="2975"/>
      <c r="Z145" s="2975"/>
    </row>
    <row r="146" spans="2:26" ht="14.25" thickBot="1">
      <c r="B146" s="2975"/>
      <c r="U146" s="2975"/>
      <c r="Z146" s="2975"/>
    </row>
    <row r="147" spans="2:26" ht="14.25" thickBot="1">
      <c r="B147" s="2975"/>
      <c r="U147" s="2975"/>
      <c r="Z147" s="2975"/>
    </row>
    <row r="148" spans="2:26" ht="14.25" thickBot="1">
      <c r="B148" s="2975"/>
      <c r="U148" s="2975"/>
      <c r="Z148" s="2975"/>
    </row>
    <row r="149" spans="2:26" ht="14.25" thickBot="1">
      <c r="B149" s="2975"/>
      <c r="U149" s="2975"/>
      <c r="Z149" s="2975"/>
    </row>
    <row r="150" spans="2:26" ht="14.25" thickBot="1">
      <c r="B150" s="2975"/>
      <c r="U150" s="2975"/>
      <c r="Z150" s="2975"/>
    </row>
    <row r="151" spans="2:26" ht="14.25" thickBot="1">
      <c r="B151" s="2975"/>
      <c r="U151" s="2975"/>
      <c r="Z151" s="2975"/>
    </row>
    <row r="152" spans="2:26" ht="14.25" thickBot="1">
      <c r="B152" s="2975"/>
      <c r="U152" s="2975"/>
      <c r="Z152" s="2975"/>
    </row>
    <row r="153" spans="2:26" ht="14.25" thickBot="1">
      <c r="B153" s="2975"/>
      <c r="U153" s="2975"/>
      <c r="Z153" s="2975"/>
    </row>
    <row r="154" spans="2:26" ht="14.25" thickBot="1">
      <c r="B154" s="2975"/>
      <c r="U154" s="2975"/>
      <c r="Z154" s="2975"/>
    </row>
    <row r="155" spans="2:26" ht="14.25" thickBot="1">
      <c r="B155" s="2975"/>
      <c r="U155" s="2975"/>
      <c r="Z155" s="2975"/>
    </row>
    <row r="156" spans="2:26" ht="14.25" thickBot="1">
      <c r="B156" s="2975"/>
      <c r="U156" s="2975"/>
      <c r="Z156" s="2975"/>
    </row>
    <row r="157" spans="2:26" ht="14.25" thickBot="1">
      <c r="B157" s="2975"/>
      <c r="U157" s="2975"/>
      <c r="Z157" s="2975"/>
    </row>
    <row r="158" spans="2:26" ht="14.25" thickBot="1">
      <c r="B158" s="2975"/>
      <c r="U158" s="2975"/>
      <c r="Z158" s="2975"/>
    </row>
    <row r="159" spans="2:26" ht="14.25" thickBot="1">
      <c r="B159" s="2975"/>
      <c r="U159" s="2975"/>
      <c r="Z159" s="2975"/>
    </row>
    <row r="160" spans="2:26" ht="14.25" thickBot="1">
      <c r="B160" s="2975"/>
      <c r="Z160" s="2975"/>
    </row>
    <row r="161" spans="2:26" ht="14.25" thickBot="1">
      <c r="B161" s="2975"/>
      <c r="Z161" s="2975"/>
    </row>
    <row r="162" spans="2:26" ht="14.25" thickBot="1">
      <c r="B162" s="2975"/>
      <c r="Z162" s="2975"/>
    </row>
    <row r="163" spans="2:26" ht="14.25" thickBot="1">
      <c r="B163" s="2975"/>
      <c r="Z163" s="2975"/>
    </row>
    <row r="164" spans="2:26" ht="14.25" thickBot="1">
      <c r="B164" s="2975"/>
      <c r="Z164" s="2975"/>
    </row>
    <row r="165" spans="2:26" ht="14.25" thickBot="1">
      <c r="B165" s="2975"/>
      <c r="Z165" s="2975"/>
    </row>
    <row r="166" spans="2:26" ht="14.25" thickBot="1">
      <c r="B166" s="2975"/>
      <c r="Z166" s="2975"/>
    </row>
    <row r="167" spans="2:26" ht="14.25" thickBot="1">
      <c r="B167" s="2975"/>
      <c r="Z167" s="2975"/>
    </row>
    <row r="168" spans="2:26" ht="14.25" thickBot="1">
      <c r="B168" s="2975"/>
      <c r="Z168" s="2975"/>
    </row>
    <row r="169" spans="2:26" ht="14.25" thickBot="1">
      <c r="Z169" s="2975"/>
    </row>
    <row r="170" spans="2:26" ht="14.25" thickBot="1">
      <c r="Z170" s="2975"/>
    </row>
    <row r="171" spans="2:26" ht="14.25" thickBot="1">
      <c r="Z171" s="2975"/>
    </row>
    <row r="172" spans="2:26" ht="14.25" thickBot="1">
      <c r="Z172" s="2975"/>
    </row>
    <row r="173" spans="2:26" ht="14.25" thickBot="1">
      <c r="Z173" s="2975"/>
    </row>
    <row r="174" spans="2:26" ht="14.25" thickBot="1">
      <c r="Z174" s="2975"/>
    </row>
    <row r="175" spans="2:26" ht="14.25" thickBot="1">
      <c r="Z175" s="2975"/>
    </row>
    <row r="176" spans="2:26" ht="14.25" thickBot="1">
      <c r="Z176" s="2975"/>
    </row>
    <row r="177" spans="26:26" ht="14.25" thickBot="1">
      <c r="Z177" s="2975"/>
    </row>
  </sheetData>
  <autoFilter ref="A1:AA105">
    <sortState ref="A17:AA93">
      <sortCondition ref="A1:A105"/>
    </sortState>
  </autoFilter>
  <phoneticPr fontId="143" type="noConversion"/>
  <dataValidations count="7">
    <dataValidation type="list" allowBlank="1" showInputMessage="1" showErrorMessage="1" sqref="P2:P105">
      <formula1>一修多修正项8</formula1>
    </dataValidation>
    <dataValidation type="list" allowBlank="1" showInputMessage="1" showErrorMessage="1" sqref="N2:N105">
      <formula1>一修多修正项7</formula1>
    </dataValidation>
    <dataValidation type="list" allowBlank="1" showInputMessage="1" showErrorMessage="1" sqref="L2:L105">
      <formula1>一修多修正项6</formula1>
    </dataValidation>
    <dataValidation type="list" allowBlank="1" showInputMessage="1" showErrorMessage="1" sqref="J2:J105">
      <formula1>一修多修正项5</formula1>
    </dataValidation>
    <dataValidation type="list" allowBlank="1" showInputMessage="1" showErrorMessage="1" sqref="H2:H105">
      <formula1>一修多修正项4</formula1>
    </dataValidation>
    <dataValidation type="list" allowBlank="1" showInputMessage="1" showErrorMessage="1" sqref="F2:F105">
      <formula1>一修多修正项3</formula1>
    </dataValidation>
    <dataValidation type="list" allowBlank="1" showInputMessage="1" showErrorMessage="1" sqref="D2:D105">
      <formula1>一修多修正项2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1643</v>
      </c>
      <c r="B2" s="3000" t="s">
        <v>1644</v>
      </c>
      <c r="C2" s="3000" t="s">
        <v>1645</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3548</v>
      </c>
      <c r="I4" s="1048">
        <f ca="1">结果表!I118</f>
        <v>79621</v>
      </c>
    </row>
    <row r="5" spans="1:9" ht="30" customHeight="1">
      <c r="A5" s="2994" t="s">
        <v>1642</v>
      </c>
      <c r="B5" s="2994"/>
      <c r="C5" s="2994"/>
      <c r="D5" s="2995" t="e">
        <f ca="1">结果表!D119</f>
        <v>#REF!</v>
      </c>
      <c r="E5" s="2995"/>
      <c r="F5" s="2995" t="e">
        <f ca="1">结果表!F119</f>
        <v>#REF!</v>
      </c>
      <c r="G5" s="2995"/>
      <c r="H5" s="2995" t="str">
        <f ca="1">结果表!H119</f>
        <v>叁仟伍佰肆拾捌万元整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1642</v>
      </c>
      <c r="B7" s="2994"/>
      <c r="C7" s="2994"/>
      <c r="D7" s="2996" t="str">
        <f>结果表!D121</f>
        <v>零元整</v>
      </c>
      <c r="E7" s="2997"/>
      <c r="F7" s="2997"/>
      <c r="G7" s="2997"/>
      <c r="H7" s="2997"/>
      <c r="I7" s="2998"/>
    </row>
    <row r="8" spans="1:9" ht="15.75">
      <c r="A8" s="2993" t="str">
        <f>结果表!A122</f>
        <v>房地产抵押价值</v>
      </c>
      <c r="B8" s="2993"/>
      <c r="C8" s="2993"/>
      <c r="D8" s="2993">
        <f ca="1">结果表!D122</f>
        <v>3548</v>
      </c>
      <c r="E8" s="2993"/>
      <c r="F8" s="2993"/>
      <c r="G8" s="2993"/>
      <c r="H8" s="2993"/>
      <c r="I8" s="2993"/>
    </row>
    <row r="9" spans="1:9" ht="15">
      <c r="A9" s="2994" t="s">
        <v>1642</v>
      </c>
      <c r="B9" s="2994"/>
      <c r="C9" s="2994"/>
      <c r="D9" s="2995" t="str">
        <f ca="1">结果表!D123</f>
        <v>叁仟伍佰肆拾捌万元整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1642</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1642</v>
      </c>
      <c r="B13" s="2990"/>
      <c r="C13" s="2990"/>
      <c r="D13" s="2991" t="e">
        <f>结果表!D127</f>
        <v>#VALUE!</v>
      </c>
      <c r="E13" s="2991"/>
      <c r="F13" s="2991"/>
      <c r="G13" s="2991"/>
      <c r="H13" s="2991"/>
      <c r="I13" s="2991"/>
    </row>
    <row r="14" spans="1:9" ht="15" thickTop="1">
      <c r="A14" s="2992" t="s">
        <v>1647</v>
      </c>
      <c r="B14" s="2992"/>
      <c r="C14" s="2992"/>
      <c r="D14" s="2992"/>
      <c r="E14" s="2992"/>
      <c r="F14" s="2992"/>
      <c r="G14" s="2992"/>
      <c r="H14" s="2992"/>
      <c r="I14" s="299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7" t="s">
        <v>1664</v>
      </c>
      <c r="B1" s="3007"/>
      <c r="C1" s="3007"/>
      <c r="D1" s="3007"/>
    </row>
    <row r="2" spans="1:4" ht="18">
      <c r="A2" s="3008" t="s">
        <v>1648</v>
      </c>
      <c r="B2" s="3008"/>
      <c r="C2" s="3008"/>
      <c r="D2" s="3008"/>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3008" t="s">
        <v>1654</v>
      </c>
      <c r="B6" s="3008"/>
      <c r="C6" s="3008"/>
      <c r="D6" s="3008"/>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3009" t="s">
        <v>1657</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（1）根据估价对象《房屋所有权证》复印件、《国有土地使用权》复印件，截至价值时点，估价对象抵押权未见登记。</v>
      </c>
      <c r="B15" s="3001"/>
      <c r="C15" s="3001"/>
      <c r="D15" s="3001"/>
    </row>
    <row r="16" spans="1:4" ht="30" customHeight="1">
      <c r="A16" s="3003" t="s">
        <v>1658</v>
      </c>
      <c r="B16" s="3003"/>
      <c r="C16" s="3003"/>
      <c r="D16" s="3003"/>
    </row>
    <row r="17" spans="1:4" ht="144" customHeight="1">
      <c r="A17" s="3003" t="s">
        <v>1659</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1660</v>
      </c>
      <c r="B22" s="3005"/>
      <c r="C22" s="3005"/>
      <c r="D22" s="3005"/>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15" t="s">
        <v>1671</v>
      </c>
      <c r="B15" s="3010" t="s">
        <v>136</v>
      </c>
      <c r="C15" s="3011"/>
    </row>
    <row r="16" spans="1:7" ht="13.5">
      <c r="A16" s="3016"/>
      <c r="B16" s="3010" t="s">
        <v>69</v>
      </c>
      <c r="C16" s="3011"/>
    </row>
    <row r="17" spans="1:3" ht="13.5">
      <c r="A17" s="3016"/>
      <c r="B17" s="3013" t="s">
        <v>1672</v>
      </c>
      <c r="C17" s="2003" t="s">
        <v>1671</v>
      </c>
    </row>
    <row r="18" spans="1:3" ht="13.5">
      <c r="A18" s="3016"/>
      <c r="B18" s="3013"/>
      <c r="C18" s="2003" t="s">
        <v>1673</v>
      </c>
    </row>
    <row r="19" spans="1:3" ht="13.5">
      <c r="A19" s="3016"/>
      <c r="B19" s="3013"/>
      <c r="C19" s="2003" t="s">
        <v>1674</v>
      </c>
    </row>
    <row r="20" spans="1:3" ht="13.5">
      <c r="A20" s="3017"/>
      <c r="B20" s="3012" t="s">
        <v>1675</v>
      </c>
      <c r="C20" s="3011"/>
    </row>
    <row r="21" spans="1:3" ht="13.5">
      <c r="A21" s="2004" t="s">
        <v>1676</v>
      </c>
      <c r="B21" s="2005"/>
      <c r="C21" s="2006"/>
    </row>
    <row r="22" spans="1:3" ht="13.5">
      <c r="A22" s="3014" t="s">
        <v>1677</v>
      </c>
      <c r="B22" s="3012" t="s">
        <v>1678</v>
      </c>
      <c r="C22" s="3011"/>
    </row>
    <row r="23" spans="1:3" ht="13.5">
      <c r="A23" s="3014"/>
      <c r="B23" s="3012" t="s">
        <v>1679</v>
      </c>
      <c r="C23" s="3011"/>
    </row>
    <row r="24" spans="1:3" ht="13.5">
      <c r="A24" s="3014"/>
      <c r="B24" s="3012" t="s">
        <v>1680</v>
      </c>
      <c r="C24" s="3011"/>
    </row>
    <row r="25" spans="1:3" ht="13.5">
      <c r="A25" s="3014"/>
      <c r="B25" s="3013" t="s">
        <v>1681</v>
      </c>
      <c r="C25" s="2003" t="s">
        <v>1682</v>
      </c>
    </row>
    <row r="26" spans="1:3" ht="13.5">
      <c r="A26" s="3014"/>
      <c r="B26" s="3013"/>
      <c r="C26" s="2003" t="s">
        <v>1683</v>
      </c>
    </row>
    <row r="27" spans="1:3" ht="13.5">
      <c r="A27" s="3014"/>
      <c r="B27" s="3013"/>
      <c r="C27" s="2003" t="s">
        <v>1684</v>
      </c>
    </row>
    <row r="28" spans="1:3" ht="13.5">
      <c r="A28" s="3014"/>
      <c r="B28" s="3013"/>
      <c r="C28" s="2003" t="s">
        <v>1685</v>
      </c>
    </row>
    <row r="29" spans="1:3" ht="13.5">
      <c r="A29" s="3014"/>
      <c r="B29" s="3013"/>
      <c r="C29" s="2003" t="s">
        <v>1686</v>
      </c>
    </row>
    <row r="30" spans="1:3" ht="13.5">
      <c r="A30" s="3014"/>
      <c r="B30" s="3013"/>
      <c r="C30" s="2003" t="s">
        <v>1687</v>
      </c>
    </row>
    <row r="31" spans="1:3" ht="13.5">
      <c r="A31" s="3014"/>
      <c r="B31" s="3013"/>
      <c r="C31" s="2003" t="s">
        <v>1688</v>
      </c>
    </row>
    <row r="32" spans="1:3" ht="13.5">
      <c r="A32" s="3014"/>
      <c r="B32" s="3013"/>
      <c r="C32" s="2003" t="s">
        <v>1689</v>
      </c>
    </row>
    <row r="33" spans="1:3" ht="13.5">
      <c r="A33" s="3014"/>
      <c r="B33" s="301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43129</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18" t="s">
        <v>846</v>
      </c>
      <c r="B25" s="3018"/>
      <c r="C25" s="3018"/>
      <c r="D25" s="3018"/>
      <c r="E25" s="3018"/>
      <c r="F25" s="3018"/>
      <c r="G25" s="3018"/>
    </row>
    <row r="26" spans="1:7" s="1029" customFormat="1" ht="24" customHeight="1">
      <c r="A26" s="3019" t="s">
        <v>847</v>
      </c>
      <c r="B26" s="3019"/>
      <c r="C26" s="3020"/>
      <c r="D26" s="3021" t="s">
        <v>848</v>
      </c>
      <c r="E26" s="3019"/>
      <c r="F26" s="3019"/>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2018-01-29T03:27:39Z</dcterms:modified>
</cp:coreProperties>
</file>