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DFCFF17-E0CA-4969-B5BB-AC6504165B7E}" xr6:coauthVersionLast="45" xr6:coauthVersionMax="45" xr10:uidLastSave="{00000000-0000-0000-0000-000000000000}"/>
  <bookViews>
    <workbookView xWindow="-30" yWindow="0" windowWidth="16140" windowHeight="12885" tabRatio="721" firstSheet="14" activeTab="17" xr2:uid="{00000000-000D-0000-FFFF-FFFF00000000}"/>
  </bookViews>
  <sheets>
    <sheet name="汇总表" sheetId="1" r:id="rId1"/>
    <sheet name="对比" sheetId="16" state="hidden" r:id="rId2"/>
    <sheet name="1员工工资" sheetId="2" r:id="rId3"/>
    <sheet name="2工程人员工资" sheetId="3" r:id="rId4"/>
    <sheet name="2-1设施设备维修" sheetId="4" r:id="rId5"/>
    <sheet name="2-2设施设备运行1" sheetId="5" r:id="rId6"/>
    <sheet name="2-3设施设备运行2 " sheetId="20" state="hidden" r:id="rId7"/>
    <sheet name="3清洁卫生" sheetId="7" r:id="rId8"/>
    <sheet name="3-1环境人员工资" sheetId="8" r:id="rId9"/>
    <sheet name="4绿化养护" sheetId="9" r:id="rId10"/>
    <sheet name="5秩序维护人员工资 " sheetId="10" r:id="rId11"/>
    <sheet name="5-1秩序维护费用" sheetId="11" r:id="rId12"/>
    <sheet name="6办公费" sheetId="12" r:id="rId13"/>
    <sheet name="7固定资产折旧" sheetId="13" r:id="rId14"/>
    <sheet name="8公众责任保险费用" sheetId="14" r:id="rId15"/>
    <sheet name="面积表" sheetId="19" r:id="rId16"/>
    <sheet name="系统读取表" sheetId="17" r:id="rId17"/>
    <sheet name="Sheet1" sheetId="18" r:id="rId18"/>
  </sheets>
  <externalReferences>
    <externalReference r:id="rId19"/>
    <externalReference r:id="rId20"/>
  </externalReferences>
  <definedNames>
    <definedName name="_xlnm.Print_Area" localSheetId="16">系统读取表!$A$1:$I$23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'[1]数据-取费表'!$D$41:$D$51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[1]定义!$R$1:$R$7</definedName>
    <definedName name="价值类型2">[1]定义!$B$54:$B$56</definedName>
    <definedName name="交通便捷度">[1]定义!$O$1:$O$6</definedName>
    <definedName name="居住社区成熟度">[1]定义!$K$1:$K$6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'[1]土地比较法-住宅、综合'!$A$73:$M$73</definedName>
    <definedName name="套工土地级别">'[1]土地比较法-工业'!$B$99:$M$99</definedName>
    <definedName name="套工用途">'[1]土地比较法-工业'!$B$70:$M$70</definedName>
    <definedName name="套工宗地内开发程度">'[1]土地比较法-工业'!$B$112:$M$112</definedName>
    <definedName name="套工宗地形状">'[1]土地比较法-工业'!$B$110:$M$110</definedName>
    <definedName name="套综道路等级">'[1]土地比较法-住宅、综合'!$B$106:$M$106</definedName>
    <definedName name="套综工程地质条件">'[1]土地比较法-住宅、综合'!$B$125:$M$125</definedName>
    <definedName name="套综交易情况">'[1]土地比较法-住宅、综合'!$A$73:$M$73</definedName>
    <definedName name="套综临街宽度及深度">'[1]土地比较法-住宅、综合'!$B$121:$M$121</definedName>
    <definedName name="套综土地级别">'[1]土地比较法-住宅、综合'!$B$108:$M$108</definedName>
    <definedName name="套综用途">'[1]土地比较法-住宅、综合'!$B$75:$M$75</definedName>
    <definedName name="套综宗地内开发程度">'[1]土地比较法-住宅、综合'!$B$123:$M$123</definedName>
    <definedName name="套综宗地形状">'[1]土地比较法-住宅、综合'!$B$119:$M$119</definedName>
    <definedName name="土地级别">[1]定义!$C$1:$C$13</definedName>
    <definedName name="土地年限区间">[1]定义!$I$1:$I$8</definedName>
    <definedName name="五等判定">[1]定义!$W$1:$W$6</definedName>
    <definedName name="写字楼等级">'[1]比较法-办公'!$B$113:$M$113</definedName>
    <definedName name="一修多修正项2">[1]典型户型修正!$8:$8</definedName>
    <definedName name="一修多修正项3">[1]典型户型修正!$10:$10</definedName>
    <definedName name="一修多修正项4">[1]典型户型修正!$12:$12</definedName>
    <definedName name="一修多修正项5">[1]典型户型修正!$14:$14</definedName>
    <definedName name="一修多修正项6">[1]典型户型修正!$16:$16</definedName>
    <definedName name="一修多修正项7">[1]典型户型修正!$18:$18</definedName>
    <definedName name="一修多修正项8">[1]典型户型修正!$20:$20</definedName>
    <definedName name="有无电梯">'[1]比较法-仓储'!$B$84:$M$84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G4" i="2" l="1"/>
  <c r="C4" i="7" l="1"/>
  <c r="B4" i="7"/>
  <c r="E4" i="7" s="1"/>
  <c r="H17" i="5"/>
  <c r="G5" i="10" l="1"/>
  <c r="G4" i="10"/>
  <c r="G3" i="10"/>
  <c r="G4" i="3"/>
  <c r="G3" i="3"/>
  <c r="G4" i="8"/>
  <c r="G3" i="8"/>
  <c r="H13" i="5"/>
  <c r="D13" i="5"/>
  <c r="H14" i="5"/>
  <c r="H12" i="5"/>
  <c r="H9" i="5"/>
  <c r="H8" i="5"/>
  <c r="H7" i="5"/>
  <c r="H6" i="5"/>
  <c r="H5" i="5"/>
  <c r="G7" i="5"/>
  <c r="F8" i="5"/>
  <c r="F7" i="5"/>
  <c r="F6" i="5"/>
  <c r="C6" i="5"/>
  <c r="E6" i="5" l="1"/>
  <c r="I6" i="5" s="1"/>
  <c r="J6" i="5" s="1"/>
  <c r="C8" i="5"/>
  <c r="E8" i="5" s="1"/>
  <c r="I8" i="5" s="1"/>
  <c r="J8" i="5" s="1"/>
  <c r="C7" i="5"/>
  <c r="C9" i="5"/>
  <c r="F11" i="4"/>
  <c r="E11" i="4" s="1"/>
  <c r="F13" i="4"/>
  <c r="F14" i="4"/>
  <c r="D12" i="4"/>
  <c r="F6" i="4"/>
  <c r="F8" i="4"/>
  <c r="D9" i="4"/>
  <c r="F9" i="4" s="1"/>
  <c r="D8" i="4"/>
  <c r="C5" i="5" s="1"/>
  <c r="E5" i="5" s="1"/>
  <c r="I5" i="5" s="1"/>
  <c r="J5" i="5" s="1"/>
  <c r="D7" i="4"/>
  <c r="F7" i="4" s="1"/>
  <c r="D6" i="4"/>
  <c r="C13" i="5" s="1"/>
  <c r="E13" i="5" s="1"/>
  <c r="I13" i="5" s="1"/>
  <c r="J13" i="5" s="1"/>
  <c r="D5" i="4"/>
  <c r="C12" i="5" s="1"/>
  <c r="D5" i="10"/>
  <c r="H3" i="8"/>
  <c r="E3" i="8"/>
  <c r="F3" i="8" s="1"/>
  <c r="E13" i="7"/>
  <c r="E3" i="3"/>
  <c r="F3" i="3" s="1"/>
  <c r="C5" i="3"/>
  <c r="D6" i="2"/>
  <c r="G6" i="2" s="1"/>
  <c r="C14" i="5" l="1"/>
  <c r="H3" i="3"/>
  <c r="C6" i="20" l="1"/>
  <c r="E6" i="20" s="1"/>
  <c r="I6" i="20" s="1"/>
  <c r="J6" i="20" s="1"/>
  <c r="C5" i="20"/>
  <c r="E5" i="20" s="1"/>
  <c r="I5" i="20" s="1"/>
  <c r="C4" i="20"/>
  <c r="E4" i="20" s="1"/>
  <c r="I4" i="20" s="1"/>
  <c r="J4" i="20" s="1"/>
  <c r="H6" i="20"/>
  <c r="H5" i="20"/>
  <c r="H4" i="20"/>
  <c r="J5" i="20" l="1"/>
  <c r="J7" i="20"/>
  <c r="E4" i="2" l="1"/>
  <c r="F4" i="2" s="1"/>
  <c r="H4" i="2" l="1"/>
  <c r="D5" i="19"/>
  <c r="E5" i="19"/>
  <c r="F5" i="19"/>
  <c r="G5" i="19"/>
  <c r="H5" i="19"/>
  <c r="J5" i="19"/>
  <c r="K5" i="19"/>
  <c r="L5" i="19"/>
  <c r="M5" i="19"/>
  <c r="N5" i="19"/>
  <c r="B5" i="19"/>
  <c r="B4" i="9" s="1"/>
  <c r="O3" i="19"/>
  <c r="I3" i="19"/>
  <c r="C3" i="19" s="1"/>
  <c r="O4" i="19"/>
  <c r="O5" i="19" l="1"/>
  <c r="D21" i="1"/>
  <c r="B15" i="19"/>
  <c r="I4" i="19"/>
  <c r="C4" i="19" s="1"/>
  <c r="C5" i="19" s="1"/>
  <c r="I5" i="19"/>
  <c r="E21" i="18" l="1"/>
  <c r="E20" i="18"/>
  <c r="E19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E18" i="18"/>
  <c r="F12" i="10"/>
  <c r="C12" i="10"/>
  <c r="F11" i="8"/>
  <c r="C11" i="8"/>
  <c r="F13" i="3"/>
  <c r="C13" i="3"/>
  <c r="F12" i="3"/>
  <c r="C18" i="2"/>
  <c r="F17" i="2"/>
  <c r="D8" i="12"/>
  <c r="E4" i="8"/>
  <c r="F4" i="8" s="1"/>
  <c r="E12" i="5"/>
  <c r="I12" i="5" s="1"/>
  <c r="E14" i="5"/>
  <c r="I14" i="5" s="1"/>
  <c r="F10" i="4"/>
  <c r="F12" i="4"/>
  <c r="D9" i="2"/>
  <c r="E9" i="2" s="1"/>
  <c r="F9" i="2" s="1"/>
  <c r="D7" i="2"/>
  <c r="D8" i="2" s="1"/>
  <c r="E8" i="2" s="1"/>
  <c r="F8" i="2" s="1"/>
  <c r="G8" i="2" s="1"/>
  <c r="H8" i="2" s="1"/>
  <c r="F23" i="17"/>
  <c r="E23" i="17"/>
  <c r="F22" i="17"/>
  <c r="E22" i="17"/>
  <c r="F21" i="17"/>
  <c r="E21" i="17"/>
  <c r="F20" i="17"/>
  <c r="E20" i="17"/>
  <c r="F19" i="17"/>
  <c r="E19" i="17"/>
  <c r="F18" i="17"/>
  <c r="E18" i="17"/>
  <c r="F17" i="17"/>
  <c r="E17" i="17"/>
  <c r="F16" i="17"/>
  <c r="E16" i="17"/>
  <c r="F15" i="17"/>
  <c r="E15" i="17"/>
  <c r="I14" i="17"/>
  <c r="H14" i="17"/>
  <c r="C14" i="17"/>
  <c r="B2" i="17" s="1"/>
  <c r="D8" i="17" s="1"/>
  <c r="B5" i="17"/>
  <c r="J5" i="16"/>
  <c r="J6" i="16"/>
  <c r="J7" i="16"/>
  <c r="J8" i="16"/>
  <c r="J9" i="16"/>
  <c r="J10" i="16"/>
  <c r="J11" i="16"/>
  <c r="J12" i="16"/>
  <c r="J13" i="16"/>
  <c r="J16" i="16"/>
  <c r="J4" i="16"/>
  <c r="G18" i="16"/>
  <c r="J18" i="16" s="1"/>
  <c r="G19" i="16"/>
  <c r="J19" i="16" s="1"/>
  <c r="G20" i="16"/>
  <c r="J20" i="16" s="1"/>
  <c r="G21" i="16"/>
  <c r="J21" i="16" s="1"/>
  <c r="G16" i="16"/>
  <c r="G17" i="16"/>
  <c r="J17" i="16" s="1"/>
  <c r="G15" i="16"/>
  <c r="J15" i="16" s="1"/>
  <c r="G14" i="16"/>
  <c r="J14" i="16" s="1"/>
  <c r="C3" i="16"/>
  <c r="H18" i="5"/>
  <c r="E7" i="5"/>
  <c r="I7" i="5" s="1"/>
  <c r="J7" i="5" s="1"/>
  <c r="E9" i="5"/>
  <c r="I9" i="5" s="1"/>
  <c r="E4" i="5"/>
  <c r="L4" i="5" s="1"/>
  <c r="J17" i="5"/>
  <c r="J18" i="5" s="1"/>
  <c r="E4" i="10"/>
  <c r="F4" i="10" s="1"/>
  <c r="E5" i="10"/>
  <c r="F5" i="10" s="1"/>
  <c r="C6" i="10"/>
  <c r="C10" i="2"/>
  <c r="E4" i="12"/>
  <c r="E10" i="12"/>
  <c r="F22" i="4"/>
  <c r="E3" i="10"/>
  <c r="F3" i="10" s="1"/>
  <c r="F18" i="2"/>
  <c r="D7" i="12"/>
  <c r="D6" i="12"/>
  <c r="E4" i="3"/>
  <c r="F4" i="3" s="1"/>
  <c r="H4" i="3" s="1"/>
  <c r="H5" i="3" s="1"/>
  <c r="D7" i="11"/>
  <c r="D6" i="11"/>
  <c r="D4" i="11"/>
  <c r="D3" i="11"/>
  <c r="E5" i="7"/>
  <c r="E3" i="7"/>
  <c r="F21" i="4"/>
  <c r="F20" i="4"/>
  <c r="F18" i="4"/>
  <c r="F15" i="4"/>
  <c r="F16" i="4"/>
  <c r="F17" i="4"/>
  <c r="E5" i="2"/>
  <c r="F5" i="2" s="1"/>
  <c r="E7" i="2"/>
  <c r="F7" i="2" s="1"/>
  <c r="E3" i="2"/>
  <c r="F3" i="2" s="1"/>
  <c r="F5" i="4"/>
  <c r="E6" i="2"/>
  <c r="F6" i="2" s="1"/>
  <c r="B14" i="17"/>
  <c r="B1" i="17" s="1"/>
  <c r="D3" i="16"/>
  <c r="E3" i="16" s="1"/>
  <c r="H19" i="1"/>
  <c r="D17" i="1"/>
  <c r="C3" i="13" s="1"/>
  <c r="D4" i="9"/>
  <c r="D10" i="9" s="1"/>
  <c r="D8" i="1" s="1"/>
  <c r="G3" i="2" l="1"/>
  <c r="H3" i="2" s="1"/>
  <c r="C3" i="14"/>
  <c r="C4" i="14" s="1"/>
  <c r="D12" i="1" s="1"/>
  <c r="C4" i="13"/>
  <c r="D11" i="1" s="1"/>
  <c r="E22" i="18"/>
  <c r="I4" i="5"/>
  <c r="J12" i="5"/>
  <c r="E6" i="7"/>
  <c r="D8" i="11"/>
  <c r="B5" i="12"/>
  <c r="E5" i="12" s="1"/>
  <c r="D5" i="17"/>
  <c r="F23" i="4"/>
  <c r="E4" i="16"/>
  <c r="F4" i="16" s="1"/>
  <c r="E16" i="16"/>
  <c r="F16" i="16" s="1"/>
  <c r="H16" i="16" s="1"/>
  <c r="E10" i="16"/>
  <c r="F10" i="16" s="1"/>
  <c r="H10" i="16" s="1"/>
  <c r="E14" i="16"/>
  <c r="F14" i="16" s="1"/>
  <c r="H14" i="16" s="1"/>
  <c r="E5" i="16"/>
  <c r="F5" i="16" s="1"/>
  <c r="H5" i="16" s="1"/>
  <c r="E19" i="16"/>
  <c r="F19" i="16" s="1"/>
  <c r="H19" i="16" s="1"/>
  <c r="E17" i="16"/>
  <c r="F17" i="16" s="1"/>
  <c r="H17" i="16" s="1"/>
  <c r="E11" i="16"/>
  <c r="F11" i="16" s="1"/>
  <c r="H11" i="16" s="1"/>
  <c r="E6" i="16"/>
  <c r="F6" i="16" s="1"/>
  <c r="H6" i="16" s="1"/>
  <c r="E8" i="16"/>
  <c r="F8" i="16" s="1"/>
  <c r="H8" i="16" s="1"/>
  <c r="E12" i="16"/>
  <c r="F12" i="16" s="1"/>
  <c r="H12" i="16" s="1"/>
  <c r="E21" i="16"/>
  <c r="F21" i="16" s="1"/>
  <c r="H21" i="16" s="1"/>
  <c r="E18" i="16"/>
  <c r="F18" i="16" s="1"/>
  <c r="H18" i="16" s="1"/>
  <c r="E7" i="16"/>
  <c r="F7" i="16" s="1"/>
  <c r="H7" i="16" s="1"/>
  <c r="E13" i="16"/>
  <c r="F13" i="16" s="1"/>
  <c r="H13" i="16" s="1"/>
  <c r="E20" i="16"/>
  <c r="F20" i="16" s="1"/>
  <c r="H20" i="16" s="1"/>
  <c r="E15" i="16"/>
  <c r="F15" i="16" s="1"/>
  <c r="H15" i="16" s="1"/>
  <c r="E9" i="16"/>
  <c r="F9" i="16" s="1"/>
  <c r="H9" i="16" s="1"/>
  <c r="J22" i="16"/>
  <c r="J23" i="16" s="1"/>
  <c r="J14" i="5"/>
  <c r="G9" i="2"/>
  <c r="H9" i="2" s="1"/>
  <c r="G7" i="2"/>
  <c r="H7" i="2" s="1"/>
  <c r="G5" i="2"/>
  <c r="H5" i="2" s="1"/>
  <c r="H5" i="10"/>
  <c r="H4" i="8"/>
  <c r="H3" i="10"/>
  <c r="H6" i="2"/>
  <c r="E14" i="17"/>
  <c r="C5" i="17"/>
  <c r="F14" i="17"/>
  <c r="H4" i="10"/>
  <c r="J9" i="5"/>
  <c r="A10" i="9"/>
  <c r="D6" i="17"/>
  <c r="D7" i="17"/>
  <c r="I15" i="5" l="1"/>
  <c r="J4" i="5"/>
  <c r="J15" i="5" s="1"/>
  <c r="J19" i="5" s="1"/>
  <c r="D6" i="1" s="1"/>
  <c r="H5" i="8"/>
  <c r="D7" i="1" s="1"/>
  <c r="B8" i="12"/>
  <c r="B6" i="12"/>
  <c r="E6" i="12" s="1"/>
  <c r="B9" i="12"/>
  <c r="E9" i="12" s="1"/>
  <c r="B7" i="12"/>
  <c r="E7" i="12" s="1"/>
  <c r="H6" i="10"/>
  <c r="D9" i="1" s="1"/>
  <c r="H10" i="2"/>
  <c r="D5" i="1" s="1"/>
  <c r="F22" i="16"/>
  <c r="H4" i="16"/>
  <c r="H22" i="16" s="1"/>
  <c r="H23" i="16" s="1"/>
  <c r="C23" i="16" s="1"/>
  <c r="E11" i="12" l="1"/>
  <c r="D10" i="1" s="1"/>
  <c r="D13" i="1" s="1"/>
  <c r="E22" i="1" l="1"/>
  <c r="D15" i="1"/>
  <c r="G14" i="1"/>
  <c r="D14" i="1"/>
  <c r="D16" i="1"/>
  <c r="C21" i="1"/>
  <c r="E21" i="1"/>
  <c r="B10" i="17"/>
</calcChain>
</file>

<file path=xl/sharedStrings.xml><?xml version="1.0" encoding="utf-8"?>
<sst xmlns="http://schemas.openxmlformats.org/spreadsheetml/2006/main" count="478" uniqueCount="316">
  <si>
    <t>(kw)</t>
  </si>
  <si>
    <t>——</t>
    <phoneticPr fontId="6" type="noConversion"/>
  </si>
  <si>
    <t>0.5%-2%</t>
    <phoneticPr fontId="6" type="noConversion"/>
  </si>
  <si>
    <r>
      <rPr>
        <sz val="12"/>
        <color rgb="FF000000"/>
        <rFont val="宋体"/>
        <family val="3"/>
        <charset val="134"/>
      </rPr>
      <t>项目</t>
    </r>
  </si>
  <si>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</si>
  <si>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功率</t>
    </r>
  </si>
  <si>
    <r>
      <rPr>
        <sz val="12"/>
        <color rgb="FF000000"/>
        <rFont val="宋体"/>
        <family val="3"/>
        <charset val="134"/>
      </rPr>
      <t>合计功率</t>
    </r>
  </si>
  <si>
    <r>
      <rPr>
        <sz val="12"/>
        <color rgb="FF000000"/>
        <rFont val="宋体"/>
        <family val="3"/>
        <charset val="134"/>
      </rPr>
      <t>运行</t>
    </r>
  </si>
  <si>
    <r>
      <rPr>
        <sz val="12"/>
        <color rgb="FF000000"/>
        <rFont val="宋体"/>
        <family val="3"/>
        <charset val="134"/>
      </rPr>
      <t>电费标准</t>
    </r>
  </si>
  <si>
    <r>
      <rPr>
        <sz val="12"/>
        <color rgb="FF000000"/>
        <rFont val="宋体"/>
        <family val="3"/>
        <charset val="134"/>
      </rPr>
      <t>全年用电</t>
    </r>
  </si>
  <si>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</si>
  <si>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时间</t>
    </r>
  </si>
  <si>
    <r>
      <rPr>
        <sz val="12"/>
        <color rgb="FF000000"/>
        <rFont val="宋体"/>
        <family val="3"/>
        <charset val="134"/>
      </rPr>
      <t>系数</t>
    </r>
  </si>
  <si>
    <r>
      <rPr>
        <sz val="12"/>
        <color rgb="FF000000"/>
        <rFont val="宋体"/>
        <family val="3"/>
        <charset val="134"/>
      </rPr>
      <t>（度）</t>
    </r>
  </si>
  <si>
    <r>
      <rPr>
        <sz val="12"/>
        <color rgb="FF000000"/>
        <rFont val="宋体"/>
        <family val="3"/>
        <charset val="134"/>
      </rPr>
      <t>给排水系统</t>
    </r>
  </si>
  <si>
    <r>
      <rPr>
        <sz val="12"/>
        <color rgb="FF000000"/>
        <rFont val="宋体"/>
        <family val="3"/>
        <charset val="134"/>
      </rPr>
      <t>生活水泵</t>
    </r>
  </si>
  <si>
    <r>
      <rPr>
        <sz val="12"/>
        <color rgb="FF000000"/>
        <rFont val="宋体"/>
        <family val="3"/>
        <charset val="134"/>
      </rPr>
      <t>雨、污水泵</t>
    </r>
  </si>
  <si>
    <r>
      <rPr>
        <b/>
        <sz val="12"/>
        <color rgb="FF000000"/>
        <rFont val="宋体"/>
        <family val="3"/>
        <charset val="134"/>
      </rPr>
      <t>合计</t>
    </r>
  </si>
  <si>
    <r>
      <t xml:space="preserve">2.3 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</si>
  <si>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度）</t>
    </r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</si>
  <si>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年）</t>
    </r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</si>
  <si>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</si>
  <si>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服务内容</t>
    </r>
  </si>
  <si>
    <r>
      <rPr>
        <b/>
        <sz val="12"/>
        <color rgb="FF000000"/>
        <rFont val="宋体"/>
        <family val="3"/>
        <charset val="134"/>
      </rPr>
      <t>全年费用</t>
    </r>
  </si>
  <si>
    <r>
      <rPr>
        <b/>
        <sz val="12"/>
        <color rgb="FF000000"/>
        <rFont val="宋体"/>
        <family val="3"/>
        <charset val="134"/>
      </rPr>
      <t>备注</t>
    </r>
  </si>
  <si>
    <r>
      <rPr>
        <b/>
        <sz val="12"/>
        <color rgb="FF000000"/>
        <rFont val="宋体"/>
        <family val="3"/>
        <charset val="134"/>
      </rPr>
      <t>（元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年）</t>
    </r>
  </si>
  <si>
    <r>
      <rPr>
        <sz val="12"/>
        <color rgb="FF000000"/>
        <rFont val="宋体"/>
        <family val="3"/>
        <charset val="134"/>
      </rPr>
      <t>员工工资明细表</t>
    </r>
  </si>
  <si>
    <r>
      <rPr>
        <sz val="12"/>
        <color rgb="FF000000"/>
        <rFont val="宋体"/>
        <family val="3"/>
        <charset val="134"/>
      </rPr>
      <t>管理服务人员工资、社会保险等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</si>
  <si>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1</t>
    </r>
  </si>
  <si>
    <r>
      <rPr>
        <sz val="12"/>
        <color rgb="FF000000"/>
        <rFont val="宋体"/>
        <family val="3"/>
        <charset val="134"/>
      </rPr>
      <t>物业公用部位、共用设施设备的日常运行、维护费用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</si>
  <si>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2</t>
    </r>
  </si>
  <si>
    <r>
      <rPr>
        <sz val="12"/>
        <color rgb="FF000000"/>
        <rFont val="宋体"/>
        <family val="3"/>
        <charset val="134"/>
      </rPr>
      <t>物业管理区域清洁卫生费用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</si>
  <si>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3</t>
    </r>
  </si>
  <si>
    <r>
      <rPr>
        <sz val="12"/>
        <color rgb="FF000000"/>
        <rFont val="宋体"/>
        <family val="3"/>
        <charset val="134"/>
      </rPr>
      <t>物业管理区域绿化养护费用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</si>
  <si>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4</t>
    </r>
  </si>
  <si>
    <r>
      <rPr>
        <sz val="12"/>
        <color rgb="FF000000"/>
        <rFont val="宋体"/>
        <family val="3"/>
        <charset val="134"/>
      </rPr>
      <t>物业管理区域秩序维护费用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</si>
  <si>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5</t>
    </r>
  </si>
  <si>
    <r>
      <rPr>
        <sz val="12"/>
        <color rgb="FF000000"/>
        <rFont val="宋体"/>
        <family val="3"/>
        <charset val="134"/>
      </rPr>
      <t>物业办公费用及管理支出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</si>
  <si>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6</t>
    </r>
  </si>
  <si>
    <r>
      <rPr>
        <sz val="12"/>
        <color rgb="FF000000"/>
        <rFont val="宋体"/>
        <family val="3"/>
        <charset val="134"/>
      </rPr>
      <t>物业服务企业固定资产折旧费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</si>
  <si>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7</t>
    </r>
  </si>
  <si>
    <r>
      <rPr>
        <sz val="12"/>
        <color rgb="FF000000"/>
        <rFont val="宋体"/>
        <family val="3"/>
        <charset val="134"/>
      </rPr>
      <t>物业公用部位、公用设施设备及公众责任保险费用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</si>
  <si>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8</t>
    </r>
  </si>
  <si>
    <r>
      <rPr>
        <b/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</si>
  <si>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法定税金成本</t>
    </r>
  </si>
  <si>
    <r>
      <rPr>
        <sz val="12"/>
        <color rgb="FF000000"/>
        <rFont val="宋体"/>
        <family val="3"/>
        <charset val="134"/>
      </rPr>
      <t>预计利润</t>
    </r>
  </si>
  <si>
    <r>
      <rPr>
        <b/>
        <sz val="12"/>
        <color rgb="FF000000"/>
        <rFont val="宋体"/>
        <family val="3"/>
        <charset val="134"/>
      </rPr>
      <t>物业管理服务年费用合计（元）</t>
    </r>
  </si>
  <si>
    <r>
      <rPr>
        <b/>
        <sz val="12"/>
        <color rgb="FF000000"/>
        <rFont val="宋体"/>
        <family val="3"/>
        <charset val="134"/>
      </rPr>
      <t>物业费计费总建筑面积（㎡）</t>
    </r>
  </si>
  <si>
    <r>
      <rPr>
        <b/>
        <sz val="12"/>
        <color rgb="FF000000"/>
        <rFont val="宋体"/>
        <family val="3"/>
        <charset val="134"/>
      </rPr>
      <t>物业管理服务费用折合月平米标准</t>
    </r>
  </si>
  <si>
    <r>
      <rPr>
        <b/>
        <sz val="12"/>
        <color rgb="FF000000"/>
        <rFont val="宋体"/>
        <family val="3"/>
        <charset val="134"/>
      </rPr>
      <t>物业类型</t>
    </r>
  </si>
  <si>
    <r>
      <rPr>
        <b/>
        <sz val="12"/>
        <color rgb="FF000000"/>
        <rFont val="宋体"/>
        <family val="3"/>
        <charset val="134"/>
      </rPr>
      <t>收费面积</t>
    </r>
  </si>
  <si>
    <r>
      <rPr>
        <b/>
        <sz val="12"/>
        <color rgb="FF000000"/>
        <rFont val="宋体"/>
        <family val="3"/>
        <charset val="134"/>
      </rPr>
      <t>单价</t>
    </r>
  </si>
  <si>
    <r>
      <t>(</t>
    </r>
    <r>
      <rPr>
        <b/>
        <sz val="12"/>
        <color rgb="FF000000"/>
        <rFont val="宋体"/>
        <family val="3"/>
        <charset val="134"/>
      </rPr>
      <t>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㎡</t>
    </r>
    <r>
      <rPr>
        <b/>
        <sz val="12"/>
        <color rgb="FF000000"/>
        <rFont val="Arial"/>
        <family val="2"/>
      </rPr>
      <t>·</t>
    </r>
    <r>
      <rPr>
        <b/>
        <sz val="12"/>
        <color rgb="FF000000"/>
        <rFont val="宋体"/>
        <family val="3"/>
        <charset val="134"/>
      </rPr>
      <t>月</t>
    </r>
    <r>
      <rPr>
        <b/>
        <sz val="12"/>
        <color rgb="FF000000"/>
        <rFont val="Arial"/>
        <family val="2"/>
      </rPr>
      <t>)</t>
    </r>
  </si>
  <si>
    <r>
      <t>2</t>
    </r>
    <r>
      <rPr>
        <b/>
        <sz val="12"/>
        <color rgb="FF000000"/>
        <rFont val="宋体"/>
        <family val="3"/>
        <charset val="134"/>
      </rPr>
      <t>、本测算收费面积以最终测算面积为准</t>
    </r>
  </si>
  <si>
    <r>
      <rPr>
        <sz val="11"/>
        <color rgb="FF000000"/>
        <rFont val="宋体"/>
        <family val="3"/>
        <charset val="134"/>
      </rPr>
      <t>部门</t>
    </r>
  </si>
  <si>
    <r>
      <rPr>
        <sz val="11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</si>
  <si>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人数</t>
    </r>
  </si>
  <si>
    <r>
      <rPr>
        <sz val="12"/>
        <color rgb="FF000000"/>
        <rFont val="宋体"/>
        <family val="3"/>
        <charset val="134"/>
      </rPr>
      <t>月工资</t>
    </r>
  </si>
  <si>
    <r>
      <rPr>
        <sz val="12"/>
        <color rgb="FF000000"/>
        <rFont val="宋体"/>
        <family val="3"/>
        <charset val="134"/>
      </rPr>
      <t>月合计</t>
    </r>
  </si>
  <si>
    <r>
      <rPr>
        <sz val="12"/>
        <color rgb="FF000000"/>
        <rFont val="宋体"/>
        <family val="3"/>
        <charset val="134"/>
      </rPr>
      <t>全年工资总额</t>
    </r>
  </si>
  <si>
    <r>
      <rPr>
        <sz val="12"/>
        <color rgb="FF000000"/>
        <rFont val="宋体"/>
        <family val="3"/>
        <charset val="134"/>
      </rPr>
      <t>年人工成本总计</t>
    </r>
  </si>
  <si>
    <r>
      <rPr>
        <sz val="12"/>
        <color rgb="FF000000"/>
        <rFont val="宋体"/>
        <family val="3"/>
        <charset val="134"/>
      </rPr>
      <t>备注</t>
    </r>
  </si>
  <si>
    <r>
      <rPr>
        <sz val="11"/>
        <color rgb="FF000000"/>
        <rFont val="宋体"/>
        <family val="3"/>
        <charset val="134"/>
      </rPr>
      <t>项目经理</t>
    </r>
  </si>
  <si>
    <r>
      <rPr>
        <sz val="11"/>
        <color rgb="FF000000"/>
        <rFont val="宋体"/>
        <family val="3"/>
        <charset val="134"/>
      </rPr>
      <t>项目副经理</t>
    </r>
    <phoneticPr fontId="6" type="noConversion"/>
  </si>
  <si>
    <r>
      <rPr>
        <sz val="11"/>
        <color rgb="FF000000"/>
        <rFont val="宋体"/>
        <family val="3"/>
        <charset val="134"/>
      </rPr>
      <t>出纳</t>
    </r>
  </si>
  <si>
    <r>
      <rPr>
        <sz val="11"/>
        <color rgb="FF000000"/>
        <rFont val="宋体"/>
        <family val="3"/>
        <charset val="134"/>
      </rPr>
      <t>文员兼库管</t>
    </r>
  </si>
  <si>
    <r>
      <rPr>
        <sz val="11"/>
        <color rgb="FF000000"/>
        <rFont val="宋体"/>
        <family val="3"/>
        <charset val="134"/>
      </rPr>
      <t>客服部</t>
    </r>
  </si>
  <si>
    <r>
      <rPr>
        <sz val="11"/>
        <color rgb="FF000000"/>
        <rFont val="宋体"/>
        <family val="3"/>
        <charset val="134"/>
      </rPr>
      <t>客服经理</t>
    </r>
  </si>
  <si>
    <r>
      <rPr>
        <sz val="11"/>
        <color rgb="FF000000"/>
        <rFont val="宋体"/>
        <family val="3"/>
        <charset val="134"/>
      </rPr>
      <t>领班</t>
    </r>
  </si>
  <si>
    <r>
      <rPr>
        <sz val="11"/>
        <color rgb="FF000000"/>
        <rFont val="宋体"/>
        <family val="3"/>
        <charset val="134"/>
      </rPr>
      <t>客服</t>
    </r>
  </si>
  <si>
    <r>
      <rPr>
        <sz val="11"/>
        <color rgb="FF000000"/>
        <rFont val="宋体"/>
        <family val="3"/>
        <charset val="134"/>
      </rPr>
      <t>环境经理</t>
    </r>
  </si>
  <si>
    <r>
      <rPr>
        <sz val="11"/>
        <color rgb="FF000000"/>
        <rFont val="宋体"/>
        <family val="3"/>
        <charset val="134"/>
      </rPr>
      <t>工程经理</t>
    </r>
  </si>
  <si>
    <r>
      <rPr>
        <sz val="11"/>
        <color rgb="FF000000"/>
        <rFont val="宋体"/>
        <family val="3"/>
        <charset val="134"/>
      </rPr>
      <t>秩序经理</t>
    </r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</si>
  <si>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</si>
  <si>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b/>
        <sz val="12"/>
        <color rgb="FF000000"/>
        <rFont val="宋体"/>
        <family val="3"/>
        <charset val="134"/>
      </rPr>
      <t>总</t>
    </r>
    <r>
      <rPr>
        <b/>
        <sz val="12"/>
        <color rgb="FF000000"/>
        <rFont val="Arial"/>
        <family val="2"/>
      </rPr>
      <t xml:space="preserve">       </t>
    </r>
    <r>
      <rPr>
        <b/>
        <sz val="12"/>
        <color rgb="FF000000"/>
        <rFont val="宋体"/>
        <family val="3"/>
        <charset val="134"/>
      </rPr>
      <t>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</si>
  <si>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1  </t>
    </r>
    <r>
      <rPr>
        <b/>
        <sz val="14"/>
        <color rgb="FF000000"/>
        <rFont val="宋体"/>
        <family val="3"/>
        <charset val="134"/>
      </rPr>
      <t>员工工资明细表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</si>
  <si>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</si>
  <si>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1"/>
        <color theme="1"/>
        <rFont val="宋体"/>
        <family val="2"/>
      </rPr>
      <t>社保缴费</t>
    </r>
    <phoneticPr fontId="6" type="noConversion"/>
  </si>
  <si>
    <r>
      <rPr>
        <sz val="11"/>
        <color theme="1"/>
        <rFont val="宋体"/>
        <family val="2"/>
      </rPr>
      <t>险种</t>
    </r>
    <phoneticPr fontId="6" type="noConversion"/>
  </si>
  <si>
    <r>
      <rPr>
        <sz val="11"/>
        <color theme="1"/>
        <rFont val="宋体"/>
        <family val="2"/>
      </rPr>
      <t>养老</t>
    </r>
    <phoneticPr fontId="6" type="noConversion"/>
  </si>
  <si>
    <r>
      <rPr>
        <sz val="11"/>
        <color theme="1"/>
        <rFont val="宋体"/>
        <family val="2"/>
      </rPr>
      <t>失业</t>
    </r>
    <phoneticPr fontId="6" type="noConversion"/>
  </si>
  <si>
    <r>
      <rPr>
        <sz val="11"/>
        <color theme="1"/>
        <rFont val="宋体"/>
        <family val="2"/>
      </rPr>
      <t>工伤</t>
    </r>
    <phoneticPr fontId="6" type="noConversion"/>
  </si>
  <si>
    <r>
      <rPr>
        <sz val="11"/>
        <color theme="1"/>
        <rFont val="宋体"/>
        <family val="2"/>
      </rPr>
      <t>生育</t>
    </r>
    <phoneticPr fontId="6" type="noConversion"/>
  </si>
  <si>
    <r>
      <rPr>
        <sz val="11"/>
        <color theme="1"/>
        <rFont val="宋体"/>
        <family val="2"/>
      </rPr>
      <t>医疗</t>
    </r>
    <phoneticPr fontId="6" type="noConversion"/>
  </si>
  <si>
    <r>
      <rPr>
        <sz val="11"/>
        <color theme="1"/>
        <rFont val="宋体"/>
        <family val="2"/>
      </rPr>
      <t>公积金</t>
    </r>
    <phoneticPr fontId="6" type="noConversion"/>
  </si>
  <si>
    <r>
      <rPr>
        <sz val="11"/>
        <color theme="1"/>
        <rFont val="宋体"/>
        <family val="2"/>
      </rPr>
      <t>基数</t>
    </r>
    <phoneticPr fontId="6" type="noConversion"/>
  </si>
  <si>
    <r>
      <rPr>
        <sz val="11"/>
        <color theme="1"/>
        <rFont val="宋体"/>
        <family val="2"/>
      </rPr>
      <t>原</t>
    </r>
    <phoneticPr fontId="6" type="noConversion"/>
  </si>
  <si>
    <r>
      <rPr>
        <sz val="11"/>
        <color theme="1"/>
        <rFont val="宋体"/>
        <family val="2"/>
      </rPr>
      <t>单位缴存比例</t>
    </r>
    <phoneticPr fontId="6" type="noConversion"/>
  </si>
  <si>
    <r>
      <rPr>
        <sz val="12"/>
        <color rgb="FF000000"/>
        <rFont val="宋体"/>
        <family val="3"/>
        <charset val="134"/>
      </rPr>
      <t>部门</t>
    </r>
  </si>
  <si>
    <r>
      <rPr>
        <sz val="12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</si>
  <si>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工程领班</t>
    </r>
    <phoneticPr fontId="6" type="noConversion"/>
  </si>
  <si>
    <r>
      <rPr>
        <sz val="12"/>
        <color rgb="FF000000"/>
        <rFont val="宋体"/>
        <family val="3"/>
        <charset val="134"/>
      </rPr>
      <t>综合维修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</si>
  <si>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  </t>
    </r>
    <r>
      <rPr>
        <b/>
        <sz val="14"/>
        <color rgb="FF000000"/>
        <rFont val="宋体"/>
        <family val="3"/>
        <charset val="134"/>
      </rPr>
      <t>工程人员工资明细表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</si>
  <si>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分项</t>
    </r>
  </si>
  <si>
    <r>
      <rPr>
        <sz val="12"/>
        <color rgb="FF000000"/>
        <rFont val="宋体"/>
        <family val="3"/>
        <charset val="134"/>
      </rPr>
      <t>计算过程</t>
    </r>
  </si>
  <si>
    <r>
      <rPr>
        <sz val="10.5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</si>
  <si>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月份</t>
    </r>
  </si>
  <si>
    <r>
      <rPr>
        <sz val="12"/>
        <color rgb="FF000000"/>
        <rFont val="宋体"/>
        <family val="3"/>
        <charset val="134"/>
      </rPr>
      <t>每月费用</t>
    </r>
  </si>
  <si>
    <r>
      <rPr>
        <sz val="12"/>
        <color rgb="FF000000"/>
        <rFont val="宋体"/>
        <family val="3"/>
        <charset val="134"/>
      </rPr>
      <t>台数</t>
    </r>
  </si>
  <si>
    <r>
      <rPr>
        <sz val="12"/>
        <rFont val="宋体"/>
        <family val="3"/>
        <charset val="134"/>
      </rPr>
      <t>生活水泵</t>
    </r>
  </si>
  <si>
    <r>
      <rPr>
        <sz val="11"/>
        <rFont val="宋体"/>
        <family val="3"/>
        <charset val="134"/>
      </rPr>
      <t>污水泵</t>
    </r>
  </si>
  <si>
    <r>
      <rPr>
        <sz val="11"/>
        <rFont val="宋体"/>
        <family val="3"/>
        <charset val="134"/>
      </rPr>
      <t>视频监控</t>
    </r>
  </si>
  <si>
    <r>
      <rPr>
        <sz val="11"/>
        <rFont val="宋体"/>
        <family val="3"/>
        <charset val="134"/>
      </rPr>
      <t>消防器材</t>
    </r>
  </si>
  <si>
    <r>
      <rPr>
        <sz val="11"/>
        <rFont val="宋体"/>
        <family val="3"/>
        <charset val="134"/>
      </rPr>
      <t>喷淋泵</t>
    </r>
  </si>
  <si>
    <r>
      <rPr>
        <sz val="11"/>
        <rFont val="宋体"/>
        <family val="3"/>
        <charset val="134"/>
      </rPr>
      <t>灭火器</t>
    </r>
  </si>
  <si>
    <r>
      <rPr>
        <sz val="11"/>
        <rFont val="宋体"/>
        <family val="3"/>
        <charset val="134"/>
      </rPr>
      <t>供电系统</t>
    </r>
  </si>
  <si>
    <r>
      <rPr>
        <sz val="11"/>
        <rFont val="宋体"/>
        <family val="3"/>
        <charset val="134"/>
      </rPr>
      <t>供电维护</t>
    </r>
  </si>
  <si>
    <r>
      <rPr>
        <sz val="11"/>
        <rFont val="宋体"/>
        <family val="3"/>
        <charset val="134"/>
      </rPr>
      <t>照明维护费</t>
    </r>
  </si>
  <si>
    <r>
      <rPr>
        <sz val="11"/>
        <rFont val="宋体"/>
        <family val="3"/>
        <charset val="134"/>
      </rPr>
      <t>土建系统</t>
    </r>
  </si>
  <si>
    <r>
      <rPr>
        <sz val="11"/>
        <rFont val="宋体"/>
        <family val="3"/>
        <charset val="134"/>
      </rPr>
      <t>土建维修</t>
    </r>
  </si>
  <si>
    <r>
      <rPr>
        <sz val="11"/>
        <rFont val="宋体"/>
        <family val="3"/>
        <charset val="134"/>
      </rPr>
      <t>项目</t>
    </r>
  </si>
  <si>
    <r>
      <rPr>
        <sz val="11"/>
        <rFont val="宋体"/>
        <family val="3"/>
        <charset val="134"/>
      </rPr>
      <t>个数</t>
    </r>
  </si>
  <si>
    <r>
      <rPr>
        <sz val="11"/>
        <rFont val="宋体"/>
        <family val="3"/>
        <charset val="134"/>
      </rPr>
      <t>次数</t>
    </r>
  </si>
  <si>
    <r>
      <rPr>
        <sz val="11"/>
        <rFont val="宋体"/>
        <family val="3"/>
        <charset val="134"/>
      </rPr>
      <t>管道井及化粪池清淘费</t>
    </r>
  </si>
  <si>
    <r>
      <rPr>
        <sz val="11"/>
        <rFont val="宋体"/>
        <family val="3"/>
        <charset val="134"/>
      </rPr>
      <t>水质检验</t>
    </r>
  </si>
  <si>
    <r>
      <rPr>
        <sz val="11"/>
        <rFont val="宋体"/>
        <family val="3"/>
        <charset val="134"/>
      </rPr>
      <t>避雷检测</t>
    </r>
  </si>
  <si>
    <r>
      <rPr>
        <b/>
        <sz val="11"/>
        <rFont val="宋体"/>
        <family val="3"/>
        <charset val="134"/>
      </rPr>
      <t>合计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</si>
  <si>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>2.1</t>
    </r>
    <r>
      <rPr>
        <b/>
        <sz val="15"/>
        <color rgb="FF000000"/>
        <rFont val="宋体"/>
        <family val="3"/>
        <charset val="134"/>
      </rPr>
      <t>物业共用部位、共用设施设备维修费用</t>
    </r>
    <phoneticPr fontId="6" type="noConversion"/>
  </si>
  <si>
    <r>
      <rPr>
        <sz val="12"/>
        <color rgb="FF000000"/>
        <rFont val="宋体"/>
        <family val="3"/>
        <charset val="134"/>
      </rPr>
      <t>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台</t>
    </r>
    <r>
      <rPr>
        <sz val="12"/>
        <color rgb="FF000000"/>
        <rFont val="Arial"/>
        <family val="2"/>
      </rPr>
      <t>.</t>
    </r>
    <r>
      <rPr>
        <sz val="12"/>
        <color rgb="FF000000"/>
        <rFont val="宋体"/>
        <family val="3"/>
        <charset val="134"/>
      </rPr>
      <t>月</t>
    </r>
  </si>
  <si>
    <r>
      <rPr>
        <sz val="11"/>
        <rFont val="宋体"/>
        <family val="3"/>
        <charset val="134"/>
      </rPr>
      <t>给排水系统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维护费</t>
    </r>
  </si>
  <si>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个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次</t>
    </r>
  </si>
  <si>
    <r>
      <rPr>
        <sz val="12"/>
        <color rgb="FF000000"/>
        <rFont val="宋体"/>
        <family val="3"/>
        <charset val="134"/>
      </rPr>
      <t>喷淋泵</t>
    </r>
  </si>
  <si>
    <r>
      <rPr>
        <sz val="12"/>
        <color rgb="FF000000"/>
        <rFont val="宋体"/>
        <family val="3"/>
        <charset val="134"/>
      </rPr>
      <t>智能化用电</t>
    </r>
  </si>
  <si>
    <r>
      <rPr>
        <sz val="12"/>
        <color rgb="FF000000"/>
        <rFont val="宋体"/>
        <family val="3"/>
        <charset val="134"/>
      </rPr>
      <t>电子监控中心</t>
    </r>
  </si>
  <si>
    <r>
      <rPr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</si>
  <si>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保洁用水</t>
    </r>
  </si>
  <si>
    <r>
      <rPr>
        <sz val="12"/>
        <color rgb="FF000000"/>
        <rFont val="宋体"/>
        <family val="3"/>
        <charset val="134"/>
      </rPr>
      <t>月水量（立方）</t>
    </r>
  </si>
  <si>
    <r>
      <rPr>
        <sz val="12"/>
        <color rgb="FF000000"/>
        <rFont val="宋体"/>
        <family val="3"/>
        <charset val="134"/>
      </rPr>
      <t>年用水量（立方）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</si>
  <si>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2.2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</si>
  <si>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水费标准（元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立方）</t>
    </r>
  </si>
  <si>
    <r>
      <rPr>
        <sz val="12"/>
        <color rgb="FF000000"/>
        <rFont val="宋体"/>
        <family val="3"/>
        <charset val="134"/>
      </rPr>
      <t>月费用</t>
    </r>
  </si>
  <si>
    <r>
      <rPr>
        <sz val="12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</si>
  <si>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保洁耗材</t>
    </r>
  </si>
  <si>
    <r>
      <rPr>
        <sz val="12"/>
        <color rgb="FF000000"/>
        <rFont val="宋体"/>
        <family val="3"/>
        <charset val="134"/>
      </rPr>
      <t>生活垃圾清运费</t>
    </r>
  </si>
  <si>
    <r>
      <rPr>
        <sz val="12"/>
        <color rgb="FF000000"/>
        <rFont val="宋体"/>
        <family val="3"/>
        <charset val="134"/>
      </rPr>
      <t>保洁消杀费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</si>
  <si>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 </t>
    </r>
    <r>
      <rPr>
        <b/>
        <sz val="14"/>
        <color rgb="FF000000"/>
        <rFont val="宋体"/>
        <family val="3"/>
        <charset val="134"/>
      </rPr>
      <t>物业管理区域清洁卫生费用</t>
    </r>
    <phoneticPr fontId="6" type="noConversion"/>
  </si>
  <si>
    <r>
      <rPr>
        <sz val="12"/>
        <color rgb="FF000000"/>
        <rFont val="宋体"/>
        <family val="3"/>
        <charset val="134"/>
      </rPr>
      <t>项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宋体"/>
        <family val="3"/>
        <charset val="134"/>
      </rPr>
      <t>目</t>
    </r>
  </si>
  <si>
    <r>
      <rPr>
        <sz val="12"/>
        <color rgb="FF000000"/>
        <rFont val="宋体"/>
        <family val="3"/>
        <charset val="134"/>
      </rPr>
      <t>保洁领班</t>
    </r>
  </si>
  <si>
    <r>
      <rPr>
        <sz val="12"/>
        <color rgb="FF000000"/>
        <rFont val="宋体"/>
        <family val="3"/>
        <charset val="134"/>
      </rPr>
      <t>公区保洁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</si>
  <si>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3.1  </t>
    </r>
    <r>
      <rPr>
        <b/>
        <sz val="14"/>
        <color rgb="FF000000"/>
        <rFont val="宋体"/>
        <family val="3"/>
        <charset val="134"/>
      </rPr>
      <t>环境人员工资明细表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</si>
  <si>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</si>
  <si>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2"/>
        <color rgb="FF000000"/>
        <rFont val="宋体"/>
        <family val="3"/>
        <charset val="134"/>
      </rPr>
      <t>绿化面积</t>
    </r>
  </si>
  <si>
    <r>
      <rPr>
        <sz val="12"/>
        <color rgb="FF000000"/>
        <rFont val="宋体"/>
        <family val="3"/>
        <charset val="134"/>
      </rPr>
      <t>费用标准</t>
    </r>
  </si>
  <si>
    <r>
      <rPr>
        <sz val="12"/>
        <color rgb="FF000000"/>
        <rFont val="宋体"/>
        <family val="3"/>
        <charset val="134"/>
      </rPr>
      <t>绿化费</t>
    </r>
  </si>
  <si>
    <r>
      <rPr>
        <sz val="12"/>
        <color rgb="FF000000"/>
        <rFont val="宋体"/>
        <family val="3"/>
        <charset val="134"/>
      </rPr>
      <t>费用包含：</t>
    </r>
  </si>
  <si>
    <r>
      <t>1</t>
    </r>
    <r>
      <rPr>
        <sz val="12"/>
        <color rgb="FF000000"/>
        <rFont val="宋体"/>
        <family val="3"/>
        <charset val="134"/>
      </rPr>
      <t>、人员工资；</t>
    </r>
  </si>
  <si>
    <r>
      <t>2</t>
    </r>
    <r>
      <rPr>
        <sz val="12"/>
        <color rgb="FF000000"/>
        <rFont val="宋体"/>
        <family val="3"/>
        <charset val="134"/>
      </rPr>
      <t>、物料消耗；</t>
    </r>
  </si>
  <si>
    <r>
      <t>3</t>
    </r>
    <r>
      <rPr>
        <sz val="12"/>
        <color rgb="FF000000"/>
        <rFont val="宋体"/>
        <family val="3"/>
        <charset val="134"/>
      </rPr>
      <t>、机具折旧；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</si>
  <si>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4  </t>
    </r>
    <r>
      <rPr>
        <b/>
        <sz val="14"/>
        <color rgb="FF000000"/>
        <rFont val="宋体"/>
        <family val="3"/>
        <charset val="134"/>
      </rPr>
      <t>物业管理区域绿化养护费用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</si>
  <si>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平方米）</t>
    </r>
  </si>
  <si>
    <r>
      <rPr>
        <sz val="12"/>
        <color rgb="FF000000"/>
        <rFont val="宋体"/>
        <family val="3"/>
        <charset val="134"/>
      </rPr>
      <t>秩序维护员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</si>
  <si>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 </t>
    </r>
    <r>
      <rPr>
        <b/>
        <sz val="14"/>
        <color rgb="FF000000"/>
        <rFont val="宋体"/>
        <family val="3"/>
        <charset val="134"/>
      </rPr>
      <t>秩序维护人员工资明细表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</si>
  <si>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对讲机占频费</t>
    </r>
  </si>
  <si>
    <r>
      <rPr>
        <sz val="12"/>
        <color rgb="FF000000"/>
        <rFont val="宋体"/>
        <family val="3"/>
        <charset val="134"/>
      </rPr>
      <t>安保设备维护</t>
    </r>
  </si>
  <si>
    <r>
      <rPr>
        <sz val="12"/>
        <color rgb="FF000000"/>
        <rFont val="宋体"/>
        <family val="3"/>
        <charset val="134"/>
      </rPr>
      <t>每次费用</t>
    </r>
  </si>
  <si>
    <r>
      <rPr>
        <sz val="12"/>
        <color rgb="FF000000"/>
        <rFont val="宋体"/>
        <family val="3"/>
        <charset val="134"/>
      </rPr>
      <t>次数</t>
    </r>
  </si>
  <si>
    <r>
      <rPr>
        <sz val="12"/>
        <color rgb="FF000000"/>
        <rFont val="宋体"/>
        <family val="3"/>
        <charset val="134"/>
      </rPr>
      <t>消防培训费</t>
    </r>
  </si>
  <si>
    <r>
      <rPr>
        <sz val="12"/>
        <color rgb="FF000000"/>
        <rFont val="宋体"/>
        <family val="3"/>
        <charset val="134"/>
      </rPr>
      <t>消防演练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</si>
  <si>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5.1 </t>
    </r>
    <r>
      <rPr>
        <b/>
        <sz val="14"/>
        <color rgb="FF000000"/>
        <rFont val="宋体"/>
        <family val="3"/>
        <charset val="134"/>
      </rPr>
      <t>物业管理区域秩序维护费用</t>
    </r>
    <phoneticPr fontId="6" type="noConversion"/>
  </si>
  <si>
    <r>
      <rPr>
        <sz val="12"/>
        <color rgb="FF000000"/>
        <rFont val="宋体"/>
        <family val="3"/>
        <charset val="134"/>
      </rPr>
      <t>每月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</si>
  <si>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月份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</si>
  <si>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通讯费</t>
    </r>
  </si>
  <si>
    <r>
      <rPr>
        <sz val="12"/>
        <color rgb="FF000000"/>
        <rFont val="宋体"/>
        <family val="3"/>
        <charset val="134"/>
      </rPr>
      <t>办公水电</t>
    </r>
  </si>
  <si>
    <r>
      <rPr>
        <sz val="12"/>
        <color rgb="FF000000"/>
        <rFont val="宋体"/>
        <family val="3"/>
        <charset val="134"/>
      </rPr>
      <t>办公用品费</t>
    </r>
  </si>
  <si>
    <r>
      <rPr>
        <sz val="12"/>
        <color rgb="FF000000"/>
        <rFont val="宋体"/>
        <family val="3"/>
        <charset val="134"/>
      </rPr>
      <t>办公设备维护费</t>
    </r>
  </si>
  <si>
    <r>
      <rPr>
        <sz val="12"/>
        <color rgb="FF000000"/>
        <rFont val="宋体"/>
        <family val="3"/>
        <charset val="134"/>
      </rPr>
      <t>服装费</t>
    </r>
  </si>
  <si>
    <r>
      <rPr>
        <sz val="12"/>
        <color rgb="FF000000"/>
        <rFont val="宋体"/>
        <family val="3"/>
        <charset val="134"/>
      </rPr>
      <t>节日装点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</si>
  <si>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6 </t>
    </r>
    <r>
      <rPr>
        <b/>
        <sz val="14"/>
        <color rgb="FF000000"/>
        <rFont val="宋体"/>
        <family val="3"/>
        <charset val="134"/>
      </rPr>
      <t>办公费</t>
    </r>
    <phoneticPr fontId="6" type="noConversion"/>
  </si>
  <si>
    <r>
      <rPr>
        <sz val="12"/>
        <color rgb="FF000000"/>
        <rFont val="宋体"/>
        <family val="3"/>
        <charset val="134"/>
      </rPr>
      <t>费用</t>
    </r>
  </si>
  <si>
    <r>
      <rPr>
        <sz val="12"/>
        <color rgb="FF000000"/>
        <rFont val="宋体"/>
        <family val="3"/>
        <charset val="134"/>
      </rPr>
      <t>固定资产折旧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</si>
  <si>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7 </t>
    </r>
    <r>
      <rPr>
        <b/>
        <sz val="14"/>
        <color rgb="FF000000"/>
        <rFont val="宋体"/>
        <family val="3"/>
        <charset val="134"/>
      </rPr>
      <t>固定资产折旧</t>
    </r>
    <phoneticPr fontId="6" type="noConversion"/>
  </si>
  <si>
    <r>
      <rPr>
        <sz val="12"/>
        <color rgb="FF000000"/>
        <rFont val="宋体"/>
        <family val="3"/>
        <charset val="134"/>
      </rPr>
      <t>按</t>
    </r>
    <r>
      <rPr>
        <sz val="12"/>
        <color rgb="FF000000"/>
        <rFont val="Arial"/>
        <family val="2"/>
      </rPr>
      <t>3</t>
    </r>
    <r>
      <rPr>
        <sz val="12"/>
        <color rgb="FF000000"/>
        <rFont val="宋体"/>
        <family val="3"/>
        <charset val="134"/>
      </rPr>
      <t>年折算</t>
    </r>
  </si>
  <si>
    <r>
      <rPr>
        <sz val="12"/>
        <color rgb="FF000000"/>
        <rFont val="宋体"/>
        <family val="3"/>
        <charset val="134"/>
      </rPr>
      <t>保险种类</t>
    </r>
  </si>
  <si>
    <r>
      <rPr>
        <sz val="12"/>
        <color rgb="FF000000"/>
        <rFont val="宋体"/>
        <family val="3"/>
        <charset val="134"/>
      </rPr>
      <t>年保险额</t>
    </r>
  </si>
  <si>
    <r>
      <rPr>
        <sz val="12"/>
        <color rgb="FF000000"/>
        <rFont val="宋体"/>
        <family val="3"/>
        <charset val="134"/>
      </rPr>
      <t>保险</t>
    </r>
  </si>
  <si>
    <r>
      <rPr>
        <sz val="12"/>
        <color rgb="FF000000"/>
        <rFont val="宋体"/>
        <family val="3"/>
        <charset val="134"/>
      </rPr>
      <t>公共责任险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</si>
  <si>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8 </t>
    </r>
    <r>
      <rPr>
        <b/>
        <sz val="14"/>
        <color rgb="FF000000"/>
        <rFont val="宋体"/>
        <family val="3"/>
        <charset val="134"/>
      </rPr>
      <t>物业共用部位、共用设施设备及公众责任保险费用</t>
    </r>
    <phoneticPr fontId="6" type="noConversion"/>
  </si>
  <si>
    <t>公共及景观照明照明</t>
    <phoneticPr fontId="6" type="noConversion"/>
  </si>
  <si>
    <t>值机员</t>
    <phoneticPr fontId="6" type="noConversion"/>
  </si>
  <si>
    <t>面积</t>
    <phoneticPr fontId="6" type="noConversion"/>
  </si>
  <si>
    <t>管理岗</t>
    <phoneticPr fontId="6" type="noConversion"/>
  </si>
  <si>
    <t>工程部</t>
    <phoneticPr fontId="6" type="noConversion"/>
  </si>
  <si>
    <t>环境人员</t>
    <phoneticPr fontId="6" type="noConversion"/>
  </si>
  <si>
    <t>秩序维护</t>
    <phoneticPr fontId="6" type="noConversion"/>
  </si>
  <si>
    <t>总负责人</t>
  </si>
  <si>
    <t>领班</t>
  </si>
  <si>
    <t>值机员</t>
  </si>
  <si>
    <t>秩序维护员</t>
  </si>
  <si>
    <t>按面积分摊人员</t>
    <phoneticPr fontId="6" type="noConversion"/>
  </si>
  <si>
    <t>增配人员</t>
    <phoneticPr fontId="6" type="noConversion"/>
  </si>
  <si>
    <t>年人工成本</t>
    <phoneticPr fontId="6" type="noConversion"/>
  </si>
  <si>
    <t>产业办公（按承租人要求）</t>
    <phoneticPr fontId="6" type="noConversion"/>
  </si>
  <si>
    <t>公租房及底商（已出具正式报告）</t>
    <phoneticPr fontId="6" type="noConversion"/>
  </si>
  <si>
    <t>3.2/5.62</t>
    <phoneticPr fontId="6" type="noConversion"/>
  </si>
  <si>
    <t>年人工差额</t>
    <phoneticPr fontId="6" type="noConversion"/>
  </si>
  <si>
    <t>金额</t>
    <phoneticPr fontId="6" type="noConversion"/>
  </si>
  <si>
    <t>单价差额</t>
    <phoneticPr fontId="6" type="noConversion"/>
  </si>
  <si>
    <t>增配人员取整</t>
    <phoneticPr fontId="6" type="noConversion"/>
  </si>
  <si>
    <t>——</t>
    <phoneticPr fontId="6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</si>
  <si>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</si>
  <si>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</si>
  <si>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</si>
  <si>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</si>
  <si>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</si>
  <si>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</si>
  <si>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</si>
  <si>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</si>
  <si>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</si>
  <si>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</si>
  <si>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</si>
  <si>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</si>
  <si>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</si>
  <si>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6" type="noConversion"/>
  </si>
  <si>
    <t>项目名称</t>
    <phoneticPr fontId="6" type="noConversion"/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</si>
  <si>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</si>
  <si>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</si>
  <si>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</si>
  <si>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</si>
  <si>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</si>
  <si>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</si>
  <si>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</si>
  <si>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</si>
  <si>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</si>
  <si>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</si>
  <si>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</si>
  <si>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</si>
  <si>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</si>
  <si>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</si>
  <si>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综合维修</t>
    <phoneticPr fontId="6" type="noConversion"/>
  </si>
  <si>
    <t>给排水</t>
    <phoneticPr fontId="6" type="noConversion"/>
  </si>
  <si>
    <t>生活水泵</t>
    <phoneticPr fontId="6" type="noConversion"/>
  </si>
  <si>
    <t>污水泵</t>
    <phoneticPr fontId="6" type="noConversion"/>
  </si>
  <si>
    <t>保洁</t>
    <phoneticPr fontId="6" type="noConversion"/>
  </si>
  <si>
    <t>饭费补助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</si>
  <si>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/>
    </r>
    <phoneticPr fontId="6" type="noConversion"/>
  </si>
  <si>
    <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</t>
    </r>
  </si>
  <si>
    <t>取值</t>
    <phoneticPr fontId="6" type="noConversion"/>
  </si>
  <si>
    <t>住宅用房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</si>
  <si>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 </t>
    </r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</si>
  <si>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</si>
  <si>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t>秩序领班</t>
    <phoneticPr fontId="6" type="noConversion"/>
  </si>
  <si>
    <t>序号</t>
    <phoneticPr fontId="6" type="noConversion"/>
  </si>
  <si>
    <t>层数</t>
    <phoneticPr fontId="6" type="noConversion"/>
  </si>
  <si>
    <t>结构</t>
    <phoneticPr fontId="6" type="noConversion"/>
  </si>
  <si>
    <t>户数</t>
    <phoneticPr fontId="6" type="noConversion"/>
  </si>
  <si>
    <t>建成年代</t>
    <phoneticPr fontId="6" type="noConversion"/>
  </si>
  <si>
    <t>门楼牌编号（于家务西里）</t>
    <phoneticPr fontId="6" type="noConversion"/>
  </si>
  <si>
    <t>钢混</t>
    <phoneticPr fontId="6" type="noConversion"/>
  </si>
  <si>
    <t>合计</t>
    <phoneticPr fontId="6" type="noConversion"/>
  </si>
  <si>
    <t>57#</t>
    <phoneticPr fontId="6" type="noConversion"/>
  </si>
  <si>
    <t>70#</t>
    <phoneticPr fontId="6" type="noConversion"/>
  </si>
  <si>
    <t>——</t>
    <phoneticPr fontId="6" type="noConversion"/>
  </si>
  <si>
    <r>
      <rPr>
        <sz val="11"/>
        <color theme="1"/>
        <rFont val="宋体"/>
        <family val="2"/>
      </rPr>
      <t>合计</t>
    </r>
    <phoneticPr fontId="6" type="noConversion"/>
  </si>
  <si>
    <r>
      <rPr>
        <sz val="11"/>
        <color theme="1"/>
        <rFont val="宋体"/>
        <family val="2"/>
      </rPr>
      <t>地号</t>
    </r>
    <phoneticPr fontId="6" type="noConversion"/>
  </si>
  <si>
    <r>
      <rPr>
        <sz val="11"/>
        <color theme="1"/>
        <rFont val="宋体"/>
        <family val="2"/>
      </rPr>
      <t>土地</t>
    </r>
    <phoneticPr fontId="6" type="noConversion"/>
  </si>
  <si>
    <r>
      <rPr>
        <sz val="11"/>
        <color theme="1"/>
        <rFont val="宋体"/>
        <family val="2"/>
      </rPr>
      <t>建筑面积</t>
    </r>
    <phoneticPr fontId="6" type="noConversion"/>
  </si>
  <si>
    <r>
      <rPr>
        <sz val="11"/>
        <color theme="1"/>
        <rFont val="宋体"/>
        <family val="2"/>
      </rPr>
      <t>地上</t>
    </r>
    <phoneticPr fontId="6" type="noConversion"/>
  </si>
  <si>
    <r>
      <rPr>
        <sz val="11"/>
        <color theme="1"/>
        <rFont val="宋体"/>
        <family val="2"/>
      </rPr>
      <t>地下</t>
    </r>
    <phoneticPr fontId="6" type="noConversion"/>
  </si>
  <si>
    <r>
      <rPr>
        <sz val="11"/>
        <color theme="1"/>
        <rFont val="宋体"/>
        <family val="2"/>
      </rPr>
      <t>住宅</t>
    </r>
    <phoneticPr fontId="6" type="noConversion"/>
  </si>
  <si>
    <r>
      <rPr>
        <sz val="11"/>
        <color theme="1"/>
        <rFont val="宋体"/>
        <family val="2"/>
      </rPr>
      <t>商业</t>
    </r>
    <phoneticPr fontId="6" type="noConversion"/>
  </si>
  <si>
    <r>
      <rPr>
        <sz val="11"/>
        <color theme="1"/>
        <rFont val="宋体"/>
        <family val="2"/>
      </rPr>
      <t>公共服务配套设施</t>
    </r>
    <phoneticPr fontId="6" type="noConversion"/>
  </si>
  <si>
    <r>
      <rPr>
        <sz val="11"/>
        <color theme="1"/>
        <rFont val="宋体"/>
        <family val="2"/>
      </rPr>
      <t>供热办公室</t>
    </r>
    <phoneticPr fontId="6" type="noConversion"/>
  </si>
  <si>
    <r>
      <rPr>
        <sz val="11"/>
        <color theme="1"/>
        <rFont val="宋体"/>
        <family val="2"/>
      </rPr>
      <t>人防及设备机房出入口</t>
    </r>
    <phoneticPr fontId="6" type="noConversion"/>
  </si>
  <si>
    <r>
      <rPr>
        <sz val="11"/>
        <color theme="1"/>
        <rFont val="宋体"/>
        <family val="2"/>
      </rPr>
      <t>小计</t>
    </r>
    <phoneticPr fontId="6" type="noConversion"/>
  </si>
  <si>
    <r>
      <rPr>
        <sz val="11"/>
        <color theme="1"/>
        <rFont val="宋体"/>
        <family val="2"/>
      </rPr>
      <t>人防车库</t>
    </r>
    <phoneticPr fontId="6" type="noConversion"/>
  </si>
  <si>
    <r>
      <rPr>
        <sz val="11"/>
        <color theme="1"/>
        <rFont val="宋体"/>
        <family val="2"/>
      </rPr>
      <t>非人防车库</t>
    </r>
    <phoneticPr fontId="6" type="noConversion"/>
  </si>
  <si>
    <r>
      <rPr>
        <sz val="11"/>
        <color theme="1"/>
        <rFont val="宋体"/>
        <family val="2"/>
      </rPr>
      <t>非机动车库</t>
    </r>
    <phoneticPr fontId="6" type="noConversion"/>
  </si>
  <si>
    <r>
      <rPr>
        <sz val="11"/>
        <color theme="1"/>
        <rFont val="宋体"/>
        <family val="2"/>
      </rPr>
      <t>设备用房</t>
    </r>
    <phoneticPr fontId="6" type="noConversion"/>
  </si>
  <si>
    <r>
      <rPr>
        <sz val="11"/>
        <color theme="1"/>
        <rFont val="宋体"/>
        <family val="2"/>
      </rPr>
      <t>公共服务配套设施</t>
    </r>
    <phoneticPr fontId="6" type="noConversion"/>
  </si>
  <si>
    <t>按《城市园林绿化养护管理标准》中提及标准测算</t>
    <phoneticPr fontId="6" type="noConversion"/>
  </si>
  <si>
    <r>
      <t>4</t>
    </r>
    <r>
      <rPr>
        <sz val="12"/>
        <color rgb="FF000000"/>
        <rFont val="宋体"/>
        <family val="3"/>
        <charset val="134"/>
      </rPr>
      <t>、绿化垃圾清运。</t>
    </r>
    <phoneticPr fontId="6" type="noConversion"/>
  </si>
  <si>
    <r>
      <t>5</t>
    </r>
    <r>
      <rPr>
        <sz val="12"/>
        <color rgb="FF000000"/>
        <rFont val="宋体"/>
        <family val="3"/>
        <charset val="134"/>
      </rPr>
      <t>、含能源费</t>
    </r>
    <phoneticPr fontId="6" type="noConversion"/>
  </si>
  <si>
    <t>总办</t>
    <phoneticPr fontId="6" type="noConversion"/>
  </si>
  <si>
    <t>出纳</t>
    <phoneticPr fontId="6" type="noConversion"/>
  </si>
  <si>
    <t>环境经理</t>
    <phoneticPr fontId="6" type="noConversion"/>
  </si>
  <si>
    <t>绿化保洁部</t>
    <phoneticPr fontId="6" type="noConversion"/>
  </si>
  <si>
    <t>秩序部</t>
    <phoneticPr fontId="6" type="noConversion"/>
  </si>
  <si>
    <t>工程领班</t>
    <phoneticPr fontId="6" type="noConversion"/>
  </si>
  <si>
    <t>中水泵</t>
    <phoneticPr fontId="6" type="noConversion"/>
  </si>
  <si>
    <t>保洁领班</t>
    <phoneticPr fontId="6" type="noConversion"/>
  </si>
  <si>
    <t>商业用房</t>
    <phoneticPr fontId="6" type="noConversion"/>
  </si>
  <si>
    <t>电梯系统</t>
    <phoneticPr fontId="6" type="noConversion"/>
  </si>
  <si>
    <t>电梯维保费</t>
    <phoneticPr fontId="6" type="noConversion"/>
  </si>
  <si>
    <t>电梯年检费</t>
    <phoneticPr fontId="6" type="noConversion"/>
  </si>
  <si>
    <t>消防报警</t>
    <phoneticPr fontId="6" type="noConversion"/>
  </si>
  <si>
    <t>弱电系统及设备维护费</t>
    <phoneticPr fontId="6" type="noConversion"/>
  </si>
  <si>
    <t>消防泵</t>
    <phoneticPr fontId="6" type="noConversion"/>
  </si>
  <si>
    <t>稳压泵</t>
    <phoneticPr fontId="6" type="noConversion"/>
  </si>
  <si>
    <r>
      <rPr>
        <sz val="12"/>
        <color rgb="FF000000"/>
        <rFont val="宋体"/>
        <family val="3"/>
        <charset val="134"/>
      </rPr>
      <t>中水泵</t>
    </r>
  </si>
  <si>
    <r>
      <rPr>
        <sz val="12"/>
        <color rgb="FF000000"/>
        <rFont val="宋体"/>
        <family val="3"/>
        <charset val="134"/>
      </rPr>
      <t>工程部</t>
    </r>
    <phoneticPr fontId="6" type="noConversion"/>
  </si>
  <si>
    <t>保洁部</t>
    <phoneticPr fontId="6" type="noConversion"/>
  </si>
  <si>
    <t>与商品房共用</t>
    <phoneticPr fontId="6" type="noConversion"/>
  </si>
  <si>
    <t>电梯</t>
    <phoneticPr fontId="6" type="noConversion"/>
  </si>
  <si>
    <t>消防泵</t>
    <phoneticPr fontId="6" type="noConversion"/>
  </si>
  <si>
    <t>稳压泵</t>
    <phoneticPr fontId="6" type="noConversion"/>
  </si>
  <si>
    <t>设备监控系统</t>
    <phoneticPr fontId="6" type="noConversion"/>
  </si>
  <si>
    <t>消防报警系统</t>
    <phoneticPr fontId="6" type="noConversion"/>
  </si>
  <si>
    <t>中水泵</t>
    <phoneticPr fontId="6" type="noConversion"/>
  </si>
  <si>
    <r>
      <rPr>
        <b/>
        <sz val="12"/>
        <color rgb="FF000000"/>
        <rFont val="宋体"/>
        <family val="3"/>
        <charset val="134"/>
      </rPr>
      <t>说明：</t>
    </r>
    <r>
      <rPr>
        <b/>
        <sz val="12"/>
        <color rgb="FF000000"/>
        <rFont val="Arial"/>
        <family val="2"/>
      </rPr>
      <t>1</t>
    </r>
    <r>
      <rPr>
        <b/>
        <sz val="12"/>
        <color rgb="FF000000"/>
        <rFont val="宋体"/>
        <family val="3"/>
        <charset val="134"/>
      </rPr>
      <t>、本项目物业服务标准为北京市住宅物业三级服务标准</t>
    </r>
    <phoneticPr fontId="6" type="noConversion"/>
  </si>
  <si>
    <t>设备名称、数量统计表</t>
  </si>
  <si>
    <t>序号</t>
  </si>
  <si>
    <t>项目</t>
  </si>
  <si>
    <t>分项名称</t>
  </si>
  <si>
    <t>数量</t>
  </si>
  <si>
    <t>化粪池</t>
  </si>
  <si>
    <t>——</t>
  </si>
  <si>
    <t>实测面积统计表</t>
  </si>
  <si>
    <t>物业类型</t>
  </si>
  <si>
    <t>收费面积</t>
  </si>
  <si>
    <t>住宅用房</t>
  </si>
  <si>
    <t>电梯系统</t>
    <phoneticPr fontId="6" type="noConversion"/>
  </si>
  <si>
    <t>电梯</t>
    <phoneticPr fontId="6" type="noConversion"/>
  </si>
  <si>
    <t>昌平区南邵镇0202-57及0302-70地块公租房物业费测算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</si>
  <si>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</si>
  <si>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t>住宅</t>
  </si>
  <si>
    <t>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</si>
</sst>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%"/>
    <numFmt numFmtId="178" formatCode="#,##0.000000000_ "/>
  </numFmts>
  <fonts count="40">
    <font>
      <sz val="11"/>
      <color theme="1"/>
      <name val="宋体"/>
      <family val="2"/>
      <scheme val="minor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FF0000"/>
      <name val="宋体"/>
      <family val="2"/>
      <scheme val="minor"/>
    </font>
    <font>
      <sz val="12"/>
      <color rgb="FF000000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宋体"/>
      <family val="2"/>
    </font>
    <font>
      <sz val="10.5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color rgb="FF000000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  <font>
      <sz val="10"/>
      <color theme="1"/>
      <name val="Times New Roman"/>
      <family val="1"/>
    </font>
    <font>
      <b/>
      <sz val="10.5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Arial"/>
      <family val="2"/>
    </font>
    <font>
      <sz val="14"/>
      <color theme="1"/>
      <name val="Arial"/>
      <family val="2"/>
    </font>
    <font>
      <sz val="14"/>
      <color theme="1"/>
      <name val="楷体_GB2312"/>
      <charset val="13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4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/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276">
    <xf numFmtId="0" fontId="0" fillId="0" borderId="0" xfId="0"/>
    <xf numFmtId="176" fontId="9" fillId="0" borderId="0" xfId="0" applyNumberFormat="1" applyFont="1"/>
    <xf numFmtId="0" fontId="16" fillId="0" borderId="0" xfId="0" applyFont="1"/>
    <xf numFmtId="0" fontId="10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/>
    </xf>
    <xf numFmtId="0" fontId="10" fillId="3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10" fontId="10" fillId="0" borderId="8" xfId="0" applyNumberFormat="1" applyFont="1" applyBorder="1" applyAlignment="1">
      <alignment horizontal="justify" vertical="center"/>
    </xf>
    <xf numFmtId="0" fontId="16" fillId="0" borderId="0" xfId="0" applyFont="1" applyAlignment="1">
      <alignment horizontal="left"/>
    </xf>
    <xf numFmtId="0" fontId="16" fillId="3" borderId="0" xfId="0" applyFont="1" applyFill="1" applyAlignment="1">
      <alignment horizontal="left"/>
    </xf>
    <xf numFmtId="9" fontId="16" fillId="3" borderId="0" xfId="0" applyNumberFormat="1" applyFont="1" applyFill="1" applyAlignment="1">
      <alignment horizontal="left"/>
    </xf>
    <xf numFmtId="177" fontId="16" fillId="3" borderId="0" xfId="0" applyNumberFormat="1" applyFont="1" applyFill="1" applyAlignment="1">
      <alignment horizontal="left"/>
    </xf>
    <xf numFmtId="0" fontId="16" fillId="5" borderId="0" xfId="0" applyFont="1" applyFill="1" applyAlignment="1">
      <alignment horizontal="left"/>
    </xf>
    <xf numFmtId="9" fontId="16" fillId="5" borderId="0" xfId="0" applyNumberFormat="1" applyFont="1" applyFill="1" applyAlignment="1">
      <alignment horizontal="left"/>
    </xf>
    <xf numFmtId="177" fontId="16" fillId="5" borderId="0" xfId="0" applyNumberFormat="1" applyFont="1" applyFill="1" applyAlignment="1">
      <alignment horizontal="left"/>
    </xf>
    <xf numFmtId="0" fontId="16" fillId="5" borderId="0" xfId="0" applyFont="1" applyFill="1"/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10" fontId="16" fillId="3" borderId="0" xfId="0" applyNumberFormat="1" applyFont="1" applyFill="1"/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0" fontId="21" fillId="3" borderId="8" xfId="0" applyFont="1" applyFill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/>
    </xf>
    <xf numFmtId="4" fontId="25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6" fillId="3" borderId="0" xfId="0" applyFont="1" applyFill="1"/>
    <xf numFmtId="0" fontId="10" fillId="0" borderId="11" xfId="0" applyFont="1" applyBorder="1" applyAlignment="1">
      <alignment horizontal="center" vertical="center" wrapText="1"/>
    </xf>
    <xf numFmtId="176" fontId="16" fillId="0" borderId="0" xfId="0" applyNumberFormat="1" applyFont="1"/>
    <xf numFmtId="0" fontId="18" fillId="0" borderId="8" xfId="0" applyFont="1" applyBorder="1" applyAlignment="1">
      <alignment horizontal="left" vertical="center" wrapText="1"/>
    </xf>
    <xf numFmtId="4" fontId="0" fillId="0" borderId="0" xfId="0" applyNumberFormat="1"/>
    <xf numFmtId="2" fontId="18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18" fillId="3" borderId="8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9" fontId="27" fillId="0" borderId="0" xfId="0" applyNumberFormat="1" applyFont="1" applyAlignment="1">
      <alignment vertical="center" wrapText="1"/>
    </xf>
    <xf numFmtId="0" fontId="28" fillId="0" borderId="0" xfId="0" applyFont="1"/>
    <xf numFmtId="9" fontId="16" fillId="0" borderId="0" xfId="0" applyNumberFormat="1" applyFont="1"/>
    <xf numFmtId="9" fontId="0" fillId="0" borderId="0" xfId="0" applyNumberFormat="1"/>
    <xf numFmtId="9" fontId="10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9" fontId="10" fillId="0" borderId="28" xfId="2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1" fillId="5" borderId="28" xfId="3" applyFont="1" applyFill="1" applyBorder="1" applyAlignment="1" applyProtection="1">
      <alignment horizontal="left" vertical="center" wrapText="1"/>
    </xf>
    <xf numFmtId="0" fontId="31" fillId="0" borderId="0" xfId="3" applyFont="1" applyBorder="1" applyAlignment="1" applyProtection="1">
      <alignment horizontal="left" vertical="center" wrapText="1"/>
      <protection locked="0"/>
    </xf>
    <xf numFmtId="0" fontId="29" fillId="0" borderId="0" xfId="3" applyBorder="1" applyAlignment="1" applyProtection="1">
      <alignment horizontal="left"/>
      <protection locked="0"/>
    </xf>
    <xf numFmtId="0" fontId="32" fillId="0" borderId="0" xfId="4" applyAlignment="1" applyProtection="1">
      <alignment horizontal="left" vertical="center"/>
      <protection locked="0"/>
    </xf>
    <xf numFmtId="14" fontId="31" fillId="5" borderId="28" xfId="3" applyNumberFormat="1" applyFont="1" applyFill="1" applyBorder="1" applyAlignment="1" applyProtection="1">
      <alignment horizontal="left" vertical="center" wrapText="1"/>
    </xf>
    <xf numFmtId="0" fontId="31" fillId="6" borderId="28" xfId="3" applyFont="1" applyFill="1" applyBorder="1" applyAlignment="1" applyProtection="1">
      <alignment horizontal="left" vertical="center" wrapText="1"/>
      <protection locked="0"/>
    </xf>
    <xf numFmtId="0" fontId="29" fillId="5" borderId="28" xfId="3" applyFill="1" applyBorder="1" applyAlignment="1" applyProtection="1">
      <alignment horizontal="left" vertical="center"/>
    </xf>
    <xf numFmtId="0" fontId="31" fillId="5" borderId="29" xfId="3" applyFont="1" applyFill="1" applyBorder="1" applyAlignment="1" applyProtection="1">
      <alignment horizontal="left" vertical="center" wrapText="1"/>
    </xf>
    <xf numFmtId="0" fontId="32" fillId="4" borderId="28" xfId="3" applyFont="1" applyFill="1" applyBorder="1" applyAlignment="1" applyProtection="1">
      <alignment horizontal="left"/>
      <protection locked="0"/>
    </xf>
    <xf numFmtId="0" fontId="31" fillId="0" borderId="29" xfId="3" applyFont="1" applyFill="1" applyBorder="1" applyAlignment="1" applyProtection="1">
      <alignment horizontal="left" vertical="center" wrapText="1"/>
      <protection locked="0"/>
    </xf>
    <xf numFmtId="0" fontId="32" fillId="0" borderId="28" xfId="3" applyFont="1" applyFill="1" applyBorder="1" applyAlignment="1" applyProtection="1">
      <alignment horizontal="left"/>
      <protection locked="0"/>
    </xf>
    <xf numFmtId="0" fontId="29" fillId="0" borderId="28" xfId="3" applyBorder="1" applyAlignment="1" applyProtection="1">
      <alignment horizontal="left"/>
      <protection locked="0"/>
    </xf>
    <xf numFmtId="0" fontId="31" fillId="0" borderId="28" xfId="3" applyFont="1" applyBorder="1" applyAlignment="1" applyProtection="1">
      <alignment horizontal="left" vertical="center" wrapText="1"/>
      <protection locked="0"/>
    </xf>
    <xf numFmtId="0" fontId="31" fillId="0" borderId="28" xfId="3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0" fillId="0" borderId="28" xfId="0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8" xfId="0" applyFont="1" applyBorder="1" applyAlignment="1">
      <alignment horizontal="center"/>
    </xf>
    <xf numFmtId="0" fontId="16" fillId="4" borderId="2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4" fontId="25" fillId="3" borderId="8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4" fontId="25" fillId="4" borderId="8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 indent="3"/>
    </xf>
    <xf numFmtId="0" fontId="18" fillId="0" borderId="7" xfId="0" applyFont="1" applyBorder="1" applyAlignment="1">
      <alignment horizontal="left" vertical="center" wrapText="1" indent="3"/>
    </xf>
    <xf numFmtId="0" fontId="18" fillId="0" borderId="8" xfId="0" applyFont="1" applyBorder="1" applyAlignment="1">
      <alignment horizontal="left" vertical="center" wrapText="1" indent="3"/>
    </xf>
    <xf numFmtId="0" fontId="18" fillId="0" borderId="13" xfId="0" applyFont="1" applyBorder="1" applyAlignment="1">
      <alignment horizontal="justify" vertical="center"/>
    </xf>
    <xf numFmtId="0" fontId="18" fillId="0" borderId="14" xfId="0" applyFont="1" applyBorder="1" applyAlignment="1">
      <alignment horizontal="justify" vertical="center"/>
    </xf>
    <xf numFmtId="0" fontId="18" fillId="0" borderId="4" xfId="0" applyFont="1" applyBorder="1" applyAlignment="1">
      <alignment horizontal="justify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5" fillId="0" borderId="15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11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" fontId="25" fillId="0" borderId="13" xfId="0" applyNumberFormat="1" applyFont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39" fillId="0" borderId="28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</cellXfs>
  <cellStyles count="15">
    <cellStyle name="百分比" xfId="2" builtinId="5"/>
    <cellStyle name="常规" xfId="0" builtinId="0"/>
    <cellStyle name="常规 16" xfId="5" xr:uid="{00000000-0005-0000-0000-000002000000}"/>
    <cellStyle name="常规 2" xfId="1" xr:uid="{00000000-0005-0000-0000-000003000000}"/>
    <cellStyle name="常规 2 2" xfId="6" xr:uid="{00000000-0005-0000-0000-000004000000}"/>
    <cellStyle name="常规 3" xfId="4" xr:uid="{00000000-0005-0000-0000-000005000000}"/>
    <cellStyle name="常规 3 2" xfId="7" xr:uid="{00000000-0005-0000-0000-000006000000}"/>
    <cellStyle name="常规 4" xfId="8" xr:uid="{00000000-0005-0000-0000-000007000000}"/>
    <cellStyle name="常规 5" xfId="9" xr:uid="{00000000-0005-0000-0000-000008000000}"/>
    <cellStyle name="常规 6" xfId="10" xr:uid="{00000000-0005-0000-0000-000009000000}"/>
    <cellStyle name="常规 6 2" xfId="11" xr:uid="{00000000-0005-0000-0000-00000A000000}"/>
    <cellStyle name="常规 6 2 2" xfId="12" xr:uid="{00000000-0005-0000-0000-00000B000000}"/>
    <cellStyle name="常规 7" xfId="13" xr:uid="{00000000-0005-0000-0000-00000C000000}"/>
    <cellStyle name="常规 8" xfId="14" xr:uid="{00000000-0005-0000-0000-00000D000000}"/>
    <cellStyle name="常规 9" xfId="3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27861;&#38498;/2020-1-0480&#21271;&#20140;&#24066;&#19996;&#22478;&#21306;&#21271;&#20140;&#26032;&#19990;&#30028;&#23478;&#22253;5&#21495;&#27004;3&#21333;&#20803;1001&#23460;/&#27979;&#31639;&#8212;&#8212;&#26032;&#19990;&#30028;&#23478;&#22253;-&#24120;&#30021;20200928-1355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ntitled/&#29289;&#19994;&#36153;&#35780;&#20272;/2020&#22825;&#36890;&#33489;/&#22825;&#36890;&#33489;&#29289;&#19994;&#36153;&#8212;&#8212;&#20135;&#19994;&#21150;&#20844;/&#22825;&#36890;&#20013;&#33489;&#29289;&#19994;&#36153;&#8212;&#8212;&#20135;&#19994;&#21150;&#20844;8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成本法"/>
      <sheetName val="假设开发法"/>
      <sheetName val="收益法"/>
      <sheetName val="酒店收入计算"/>
      <sheetName val="典型户型修正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  <sheetName val="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</sheetData>
      <sheetData sheetId="8">
        <row r="1">
          <cell r="B1" t="str">
            <v>估价方法</v>
          </cell>
          <cell r="C1" t="str">
            <v>土地级别</v>
          </cell>
          <cell r="D1" t="str">
            <v>判定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B2" t="str">
            <v>成本法</v>
          </cell>
          <cell r="C2" t="str">
            <v>一级</v>
          </cell>
          <cell r="D2" t="str">
            <v>是</v>
          </cell>
          <cell r="G2">
            <v>40</v>
          </cell>
          <cell r="H2" t="str">
            <v>住宅</v>
          </cell>
          <cell r="I2" t="str">
            <v>60-70（含）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B3" t="str">
            <v>成本法 (分)</v>
          </cell>
          <cell r="C3" t="str">
            <v>二级</v>
          </cell>
          <cell r="D3" t="str">
            <v>否</v>
          </cell>
          <cell r="G3">
            <v>50</v>
          </cell>
          <cell r="H3" t="str">
            <v>商业</v>
          </cell>
          <cell r="I3" t="str">
            <v>50-60（含）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B4" t="str">
            <v>成本法 (元)</v>
          </cell>
          <cell r="C4" t="str">
            <v>三级</v>
          </cell>
          <cell r="D4" t="str">
            <v>——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B5" t="str">
            <v>假设开发法</v>
          </cell>
          <cell r="C5" t="str">
            <v>四级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B6" t="str">
            <v>收益法</v>
          </cell>
          <cell r="C6" t="str">
            <v>五级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B7" t="str">
            <v>收益法 (元)</v>
          </cell>
          <cell r="C7" t="str">
            <v>六级</v>
          </cell>
          <cell r="H7" t="str">
            <v>工业</v>
          </cell>
          <cell r="I7" t="str">
            <v>10-20（含）</v>
          </cell>
        </row>
        <row r="8">
          <cell r="B8" t="str">
            <v>收益法（汇总）</v>
          </cell>
          <cell r="C8" t="str">
            <v>七级</v>
          </cell>
          <cell r="H8" t="str">
            <v>公共配套</v>
          </cell>
          <cell r="I8" t="str">
            <v>0-10（含）</v>
          </cell>
        </row>
        <row r="9">
          <cell r="B9" t="str">
            <v>比较法-住宅</v>
          </cell>
          <cell r="C9" t="str">
            <v>八级</v>
          </cell>
          <cell r="H9" t="str">
            <v>设备及其他</v>
          </cell>
        </row>
        <row r="10">
          <cell r="B10" t="str">
            <v>比较法-商业</v>
          </cell>
          <cell r="C10" t="str">
            <v>九级</v>
          </cell>
        </row>
        <row r="11">
          <cell r="B11" t="str">
            <v>比较法-办公</v>
          </cell>
          <cell r="C11" t="str">
            <v>十级</v>
          </cell>
        </row>
        <row r="12">
          <cell r="B12" t="str">
            <v>比较法-工业</v>
          </cell>
          <cell r="C12" t="str">
            <v>十一级</v>
          </cell>
        </row>
        <row r="13">
          <cell r="B13" t="str">
            <v>比较法-车位</v>
          </cell>
          <cell r="C13" t="str">
            <v>十二级</v>
          </cell>
        </row>
        <row r="14">
          <cell r="B14" t="str">
            <v>比较法-仓储</v>
          </cell>
        </row>
        <row r="15">
          <cell r="B15" t="str">
            <v>土地比较法-住宅、综合</v>
          </cell>
        </row>
        <row r="16">
          <cell r="B16" t="str">
            <v>土地比较法-工业</v>
          </cell>
        </row>
        <row r="17">
          <cell r="B17" t="str">
            <v>基准地价修正</v>
          </cell>
        </row>
        <row r="18">
          <cell r="B18" t="str">
            <v>典型户型修正</v>
          </cell>
        </row>
        <row r="19">
          <cell r="B19" t="str">
            <v>典型户型修正(比较法)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>
        <row r="2">
          <cell r="D2">
            <v>44098</v>
          </cell>
        </row>
      </sheetData>
      <sheetData sheetId="10" refreshError="1"/>
      <sheetData sheetId="11">
        <row r="3">
          <cell r="B3" t="str">
            <v>元</v>
          </cell>
        </row>
        <row r="41">
          <cell r="D41" t="str">
            <v>城镇土地纳税等级分级范围</v>
          </cell>
        </row>
        <row r="42">
          <cell r="D42" t="str">
            <v>一级</v>
          </cell>
        </row>
        <row r="43">
          <cell r="D43" t="str">
            <v>二级</v>
          </cell>
        </row>
        <row r="44">
          <cell r="D44" t="str">
            <v>三级</v>
          </cell>
        </row>
        <row r="45">
          <cell r="D45" t="str">
            <v>四级</v>
          </cell>
        </row>
        <row r="46">
          <cell r="D46" t="str">
            <v>五级</v>
          </cell>
        </row>
        <row r="47">
          <cell r="D47" t="str">
            <v>六级</v>
          </cell>
        </row>
        <row r="48">
          <cell r="D48" t="str">
            <v>七级</v>
          </cell>
        </row>
        <row r="49">
          <cell r="D49" t="str">
            <v>八级</v>
          </cell>
        </row>
        <row r="50">
          <cell r="D50" t="str">
            <v>九级</v>
          </cell>
        </row>
        <row r="51">
          <cell r="D51" t="str">
            <v>十级</v>
          </cell>
        </row>
      </sheetData>
      <sheetData sheetId="12" refreshError="1"/>
      <sheetData sheetId="13"/>
      <sheetData sheetId="14">
        <row r="121">
          <cell r="H121">
            <v>15443188</v>
          </cell>
        </row>
        <row r="127">
          <cell r="D127" t="str">
            <v>——</v>
          </cell>
        </row>
        <row r="129">
          <cell r="D129" t="str">
            <v>——</v>
          </cell>
        </row>
      </sheetData>
      <sheetData sheetId="15">
        <row r="125">
          <cell r="H125">
            <v>0</v>
          </cell>
        </row>
        <row r="131">
          <cell r="D131" t="str">
            <v>——</v>
          </cell>
        </row>
        <row r="133">
          <cell r="D133" t="str">
            <v>——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8">
          <cell r="B8" t="str">
            <v>修正项2</v>
          </cell>
        </row>
        <row r="10">
          <cell r="B10" t="str">
            <v>修正项3</v>
          </cell>
        </row>
        <row r="12">
          <cell r="B12" t="str">
            <v>修正项4</v>
          </cell>
        </row>
        <row r="14">
          <cell r="B14" t="str">
            <v>修正项5</v>
          </cell>
        </row>
        <row r="16">
          <cell r="B16" t="str">
            <v>修正项6</v>
          </cell>
        </row>
        <row r="18">
          <cell r="B18" t="str">
            <v>修正项7</v>
          </cell>
        </row>
        <row r="20">
          <cell r="A20" t="str">
            <v>修正系数</v>
          </cell>
          <cell r="B20" t="str">
            <v>楼层</v>
          </cell>
        </row>
      </sheetData>
      <sheetData sheetId="2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  <cell r="D88" t="str">
            <v>西南</v>
          </cell>
        </row>
        <row r="100">
          <cell r="B100" t="str">
            <v>建筑类型</v>
          </cell>
          <cell r="C100" t="str">
            <v>小高层板楼</v>
          </cell>
          <cell r="D100" t="str">
            <v>高层板楼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  <cell r="C109" t="str">
            <v>普通装修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  <cell r="C116" t="str">
            <v>七通</v>
          </cell>
        </row>
        <row r="118">
          <cell r="B118" t="str">
            <v>房型</v>
          </cell>
          <cell r="C118" t="str">
            <v>平层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  <cell r="E122" t="str">
            <v>简单装修</v>
          </cell>
        </row>
      </sheetData>
      <sheetData sheetId="22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3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4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5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6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27">
        <row r="73">
          <cell r="A73" t="str">
            <v>交易情况</v>
          </cell>
          <cell r="C73" t="str">
            <v>正常</v>
          </cell>
        </row>
        <row r="75">
          <cell r="B75" t="str">
            <v>用途</v>
          </cell>
        </row>
        <row r="106">
          <cell r="B106" t="str">
            <v>毗邻道路的类型与等级</v>
          </cell>
        </row>
        <row r="108">
          <cell r="B108" t="str">
            <v>土地级别</v>
          </cell>
        </row>
        <row r="119">
          <cell r="B119" t="str">
            <v>宗地形状</v>
          </cell>
        </row>
        <row r="121">
          <cell r="B121" t="str">
            <v>临街宽度及深度</v>
          </cell>
        </row>
        <row r="123">
          <cell r="B123" t="str">
            <v>宗地开发程度</v>
          </cell>
        </row>
        <row r="125">
          <cell r="B125" t="str">
            <v>工程地质条件</v>
          </cell>
        </row>
      </sheetData>
      <sheetData sheetId="28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积"/>
      <sheetName val="汇总表"/>
      <sheetName val="对比"/>
      <sheetName val="1员工工资"/>
      <sheetName val="2工程人员工资"/>
      <sheetName val="2-1设施设备维修"/>
      <sheetName val="2-2设施设备运行1"/>
      <sheetName val="2-3设施设备运行2"/>
      <sheetName val="3清洁卫生"/>
      <sheetName val="3-1环境人员工资"/>
      <sheetName val="4绿化养护"/>
      <sheetName val="5秩序维护人员工资 "/>
      <sheetName val="5-1秩序维护费用"/>
      <sheetName val="6办公费"/>
      <sheetName val="7固定资产折旧"/>
      <sheetName val="8公众责任保险费用"/>
      <sheetName val="系统读取表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H4">
            <v>0.51029999999999998</v>
          </cell>
        </row>
        <row r="5">
          <cell r="H5">
            <v>0.51029999999999998</v>
          </cell>
        </row>
        <row r="6">
          <cell r="H6">
            <v>0.51029999999999998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A22" sqref="A22:XFD22"/>
    </sheetView>
  </sheetViews>
  <sheetFormatPr defaultColWidth="8.875" defaultRowHeight="13.5"/>
  <cols>
    <col min="2" max="2" width="19.625" customWidth="1"/>
    <col min="3" max="3" width="17.625" customWidth="1"/>
    <col min="4" max="4" width="19.375" customWidth="1"/>
    <col min="5" max="5" width="18.5" customWidth="1"/>
    <col min="7" max="7" width="13.875" bestFit="1" customWidth="1"/>
    <col min="8" max="8" width="15.375" customWidth="1"/>
  </cols>
  <sheetData>
    <row r="1" spans="1:7">
      <c r="A1" s="162" t="s">
        <v>312</v>
      </c>
      <c r="B1" s="163"/>
      <c r="C1" s="163"/>
      <c r="D1" s="163"/>
      <c r="E1" s="163"/>
    </row>
    <row r="2" spans="1:7" ht="14.25" thickBot="1">
      <c r="A2" s="164"/>
      <c r="B2" s="164"/>
      <c r="C2" s="164"/>
      <c r="D2" s="164"/>
      <c r="E2" s="164"/>
    </row>
    <row r="3" spans="1:7" ht="15" thickBot="1">
      <c r="A3" s="165" t="s">
        <v>21</v>
      </c>
      <c r="B3" s="167" t="s">
        <v>22</v>
      </c>
      <c r="C3" s="168"/>
      <c r="D3" s="8" t="s">
        <v>23</v>
      </c>
      <c r="E3" s="165" t="s">
        <v>24</v>
      </c>
    </row>
    <row r="4" spans="1:7" ht="16.5" thickBot="1">
      <c r="A4" s="166"/>
      <c r="B4" s="169"/>
      <c r="C4" s="170"/>
      <c r="D4" s="9" t="s">
        <v>25</v>
      </c>
      <c r="E4" s="166"/>
    </row>
    <row r="5" spans="1:7" ht="15.75" thickBot="1">
      <c r="A5" s="6">
        <v>1</v>
      </c>
      <c r="B5" s="10" t="s">
        <v>26</v>
      </c>
      <c r="C5" s="10" t="s">
        <v>27</v>
      </c>
      <c r="D5" s="11">
        <f>'1员工工资'!H10</f>
        <v>636284</v>
      </c>
      <c r="E5" s="5" t="s">
        <v>28</v>
      </c>
    </row>
    <row r="6" spans="1:7" ht="42.75" customHeight="1" thickBot="1">
      <c r="A6" s="6">
        <v>2</v>
      </c>
      <c r="B6" s="171" t="s">
        <v>29</v>
      </c>
      <c r="C6" s="172"/>
      <c r="D6" s="11">
        <f>'2工程人员工资'!H5+'2-1设施设备维修'!F23+'2-2设施设备运行1'!J19</f>
        <v>1186362.199088</v>
      </c>
      <c r="E6" s="5" t="s">
        <v>30</v>
      </c>
    </row>
    <row r="7" spans="1:7" ht="15.75" thickBot="1">
      <c r="A7" s="6">
        <v>3</v>
      </c>
      <c r="B7" s="173" t="s">
        <v>31</v>
      </c>
      <c r="C7" s="174"/>
      <c r="D7" s="11">
        <f>'3清洁卫生'!E6+'3-1环境人员工资'!H5</f>
        <v>699096</v>
      </c>
      <c r="E7" s="5" t="s">
        <v>32</v>
      </c>
    </row>
    <row r="8" spans="1:7" ht="15.75" thickBot="1">
      <c r="A8" s="6">
        <v>4</v>
      </c>
      <c r="B8" s="173" t="s">
        <v>33</v>
      </c>
      <c r="C8" s="174"/>
      <c r="D8" s="11">
        <f>'4绿化养护'!D10</f>
        <v>285581.61499999999</v>
      </c>
      <c r="E8" s="5" t="s">
        <v>34</v>
      </c>
    </row>
    <row r="9" spans="1:7" ht="15.75" thickBot="1">
      <c r="A9" s="6">
        <v>5</v>
      </c>
      <c r="B9" s="173" t="s">
        <v>35</v>
      </c>
      <c r="C9" s="174"/>
      <c r="D9" s="11">
        <f>'5秩序维护人员工资 '!H6+'5-1秩序维护费用'!D8</f>
        <v>793881</v>
      </c>
      <c r="E9" s="5" t="s">
        <v>36</v>
      </c>
    </row>
    <row r="10" spans="1:7" ht="15.75" thickBot="1">
      <c r="A10" s="6">
        <v>6</v>
      </c>
      <c r="B10" s="173" t="s">
        <v>37</v>
      </c>
      <c r="C10" s="174"/>
      <c r="D10" s="11">
        <f>'6办公费'!E11</f>
        <v>67660</v>
      </c>
      <c r="E10" s="5" t="s">
        <v>38</v>
      </c>
    </row>
    <row r="11" spans="1:7" ht="15.75" thickBot="1">
      <c r="A11" s="6">
        <v>7</v>
      </c>
      <c r="B11" s="173" t="s">
        <v>39</v>
      </c>
      <c r="C11" s="174"/>
      <c r="D11" s="11">
        <f>'7固定资产折旧'!C4</f>
        <v>11271.669000000002</v>
      </c>
      <c r="E11" s="5" t="s">
        <v>40</v>
      </c>
    </row>
    <row r="12" spans="1:7" ht="42.75" customHeight="1" thickBot="1">
      <c r="A12" s="6">
        <v>8</v>
      </c>
      <c r="B12" s="171" t="s">
        <v>41</v>
      </c>
      <c r="C12" s="172"/>
      <c r="D12" s="11">
        <f>'8公众责任保险费用'!C4</f>
        <v>54104.011200000001</v>
      </c>
      <c r="E12" s="5" t="s">
        <v>42</v>
      </c>
    </row>
    <row r="13" spans="1:7" ht="16.5" thickBot="1">
      <c r="A13" s="159" t="s">
        <v>43</v>
      </c>
      <c r="B13" s="160"/>
      <c r="C13" s="161"/>
      <c r="D13" s="7">
        <f>SUM(D5:D12)</f>
        <v>3734240.4942880003</v>
      </c>
      <c r="E13" s="5"/>
    </row>
    <row r="14" spans="1:7" ht="15.75" thickBot="1">
      <c r="A14" s="6">
        <v>9</v>
      </c>
      <c r="B14" s="173" t="s">
        <v>44</v>
      </c>
      <c r="C14" s="174"/>
      <c r="D14" s="11">
        <f ca="1">D16*E14</f>
        <v>281071.86515780888</v>
      </c>
      <c r="E14" s="12">
        <v>6.7199999999999996E-2</v>
      </c>
      <c r="G14" s="70">
        <f ca="1">D16*E14</f>
        <v>281071.86515780888</v>
      </c>
    </row>
    <row r="15" spans="1:7" ht="15.75" thickBot="1">
      <c r="A15" s="6">
        <v>10</v>
      </c>
      <c r="B15" s="173" t="s">
        <v>45</v>
      </c>
      <c r="C15" s="174"/>
      <c r="D15" s="11">
        <f ca="1">D16*E15</f>
        <v>167304.68164155292</v>
      </c>
      <c r="E15" s="13">
        <v>0.04</v>
      </c>
    </row>
    <row r="16" spans="1:7" ht="16.5" thickBot="1">
      <c r="A16" s="181" t="s">
        <v>46</v>
      </c>
      <c r="B16" s="182"/>
      <c r="C16" s="183"/>
      <c r="D16" s="14">
        <f ca="1">D13+D14+D15</f>
        <v>4182617.0410873624</v>
      </c>
      <c r="E16" s="15"/>
    </row>
    <row r="17" spans="1:8" ht="16.5" thickBot="1">
      <c r="A17" s="181" t="s">
        <v>47</v>
      </c>
      <c r="B17" s="182"/>
      <c r="C17" s="183"/>
      <c r="D17" s="16">
        <f>D21+D22</f>
        <v>112716.69</v>
      </c>
      <c r="E17" s="5"/>
    </row>
    <row r="18" spans="1:8" ht="16.5" thickBot="1">
      <c r="A18" s="159" t="s">
        <v>48</v>
      </c>
      <c r="B18" s="160"/>
      <c r="C18" s="160"/>
      <c r="D18" s="160"/>
      <c r="E18" s="161"/>
      <c r="H18">
        <v>488564.08</v>
      </c>
    </row>
    <row r="19" spans="1:8" ht="16.5" thickBot="1">
      <c r="A19" s="184" t="s">
        <v>49</v>
      </c>
      <c r="B19" s="185"/>
      <c r="C19" s="186"/>
      <c r="D19" s="190" t="s">
        <v>50</v>
      </c>
      <c r="E19" s="16" t="s">
        <v>51</v>
      </c>
      <c r="H19">
        <f>D21/H18</f>
        <v>0.23071014553505448</v>
      </c>
    </row>
    <row r="20" spans="1:8" ht="16.5" thickBot="1">
      <c r="A20" s="187"/>
      <c r="B20" s="188"/>
      <c r="C20" s="189"/>
      <c r="D20" s="191"/>
      <c r="E20" s="16" t="s">
        <v>52</v>
      </c>
    </row>
    <row r="21" spans="1:8" ht="16.5" thickBot="1">
      <c r="A21" s="17"/>
      <c r="B21" s="83" t="s">
        <v>237</v>
      </c>
      <c r="C21" s="14">
        <f ca="1">D16</f>
        <v>4182617.0410873624</v>
      </c>
      <c r="D21" s="16">
        <f>面积表!D5</f>
        <v>112716.69</v>
      </c>
      <c r="E21" s="123">
        <f ca="1">ROUND(C21/D21/12,2)</f>
        <v>3.09</v>
      </c>
    </row>
    <row r="22" spans="1:8" ht="16.5" hidden="1" thickBot="1">
      <c r="A22" s="18"/>
      <c r="B22" s="19" t="s">
        <v>280</v>
      </c>
      <c r="C22" s="74"/>
      <c r="D22" s="19"/>
      <c r="E22" s="71" t="e">
        <f>ROUND(C22/D22/12,2)</f>
        <v>#DIV/0!</v>
      </c>
    </row>
    <row r="23" spans="1:8" ht="28.5" customHeight="1">
      <c r="A23" s="175" t="s">
        <v>298</v>
      </c>
      <c r="B23" s="176"/>
      <c r="C23" s="176"/>
      <c r="D23" s="176"/>
      <c r="E23" s="177"/>
    </row>
    <row r="24" spans="1:8" ht="16.5" thickBot="1">
      <c r="A24" s="178" t="s">
        <v>53</v>
      </c>
      <c r="B24" s="179"/>
      <c r="C24" s="179"/>
      <c r="D24" s="179"/>
      <c r="E24" s="180"/>
    </row>
  </sheetData>
  <mergeCells count="21">
    <mergeCell ref="A23:E23"/>
    <mergeCell ref="A24:E24"/>
    <mergeCell ref="B14:C14"/>
    <mergeCell ref="B15:C15"/>
    <mergeCell ref="A16:C16"/>
    <mergeCell ref="A17:C17"/>
    <mergeCell ref="A18:E18"/>
    <mergeCell ref="A19:C20"/>
    <mergeCell ref="D19:D20"/>
    <mergeCell ref="A13:C13"/>
    <mergeCell ref="A1:E2"/>
    <mergeCell ref="A3:A4"/>
    <mergeCell ref="B3:C4"/>
    <mergeCell ref="E3:E4"/>
    <mergeCell ref="B6:C6"/>
    <mergeCell ref="B7:C7"/>
    <mergeCell ref="B8:C8"/>
    <mergeCell ref="B9:C9"/>
    <mergeCell ref="B10:C10"/>
    <mergeCell ref="B11:C11"/>
    <mergeCell ref="B12:C12"/>
  </mergeCells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zoomScale="90" zoomScaleNormal="90" workbookViewId="0">
      <selection activeCell="A10" sqref="A10:C10"/>
    </sheetView>
  </sheetViews>
  <sheetFormatPr defaultColWidth="9" defaultRowHeight="14.25"/>
  <cols>
    <col min="1" max="1" width="9" style="2"/>
    <col min="2" max="2" width="16.875" style="2" customWidth="1"/>
    <col min="3" max="3" width="21.125" style="2" customWidth="1"/>
    <col min="4" max="4" width="17.375" style="2" customWidth="1"/>
    <col min="5" max="5" width="27" style="2" customWidth="1"/>
    <col min="6" max="16384" width="9" style="2"/>
  </cols>
  <sheetData>
    <row r="1" spans="1:5" ht="18.75" thickBot="1">
      <c r="A1" s="249" t="s">
        <v>148</v>
      </c>
      <c r="B1" s="249"/>
      <c r="C1" s="249"/>
      <c r="D1" s="249"/>
      <c r="E1" s="249"/>
    </row>
    <row r="2" spans="1:5" ht="15" thickBot="1">
      <c r="A2" s="211" t="s">
        <v>3</v>
      </c>
      <c r="B2" s="211" t="s">
        <v>141</v>
      </c>
      <c r="C2" s="3" t="s">
        <v>142</v>
      </c>
      <c r="D2" s="211" t="s">
        <v>131</v>
      </c>
      <c r="E2" s="211" t="s">
        <v>61</v>
      </c>
    </row>
    <row r="3" spans="1:5" ht="15.75" thickBot="1">
      <c r="A3" s="213"/>
      <c r="B3" s="213"/>
      <c r="C3" s="3" t="s">
        <v>149</v>
      </c>
      <c r="D3" s="213"/>
      <c r="E3" s="213"/>
    </row>
    <row r="4" spans="1:5" ht="15" customHeight="1" thickBot="1">
      <c r="A4" s="211" t="s">
        <v>143</v>
      </c>
      <c r="B4" s="211">
        <f>ROUND(面积表!B5*0.3,2)</f>
        <v>51923.93</v>
      </c>
      <c r="C4" s="211">
        <v>5.5</v>
      </c>
      <c r="D4" s="250">
        <f>B4*C4</f>
        <v>285581.61499999999</v>
      </c>
      <c r="E4" s="62" t="s">
        <v>144</v>
      </c>
    </row>
    <row r="5" spans="1:5" ht="15.75" thickBot="1">
      <c r="A5" s="212"/>
      <c r="B5" s="212"/>
      <c r="C5" s="212"/>
      <c r="D5" s="251"/>
      <c r="E5" s="63" t="s">
        <v>145</v>
      </c>
    </row>
    <row r="6" spans="1:5" ht="15.75" thickBot="1">
      <c r="A6" s="212"/>
      <c r="B6" s="212"/>
      <c r="C6" s="212"/>
      <c r="D6" s="251"/>
      <c r="E6" s="63" t="s">
        <v>146</v>
      </c>
    </row>
    <row r="7" spans="1:5" ht="15.75" thickBot="1">
      <c r="A7" s="212"/>
      <c r="B7" s="212"/>
      <c r="C7" s="212"/>
      <c r="D7" s="251"/>
      <c r="E7" s="63" t="s">
        <v>147</v>
      </c>
    </row>
    <row r="8" spans="1:5" ht="15.75" hidden="1" thickBot="1">
      <c r="A8" s="212"/>
      <c r="B8" s="212"/>
      <c r="C8" s="212"/>
      <c r="D8" s="251"/>
      <c r="E8" s="63" t="s">
        <v>271</v>
      </c>
    </row>
    <row r="9" spans="1:5" ht="15.75" customHeight="1" thickBot="1">
      <c r="A9" s="213"/>
      <c r="B9" s="213"/>
      <c r="C9" s="213"/>
      <c r="D9" s="252"/>
      <c r="E9" s="63" t="s">
        <v>270</v>
      </c>
    </row>
    <row r="10" spans="1:5" ht="56.25" customHeight="1" thickBot="1">
      <c r="A10" s="248">
        <f>D4</f>
        <v>285581.61499999999</v>
      </c>
      <c r="B10" s="242"/>
      <c r="C10" s="243"/>
      <c r="D10" s="7">
        <f>D4</f>
        <v>285581.61499999999</v>
      </c>
      <c r="E10" s="135" t="s">
        <v>269</v>
      </c>
    </row>
  </sheetData>
  <mergeCells count="10">
    <mergeCell ref="A10:C10"/>
    <mergeCell ref="A1:E1"/>
    <mergeCell ref="A2:A3"/>
    <mergeCell ref="B2:B3"/>
    <mergeCell ref="D2:D3"/>
    <mergeCell ref="E2:E3"/>
    <mergeCell ref="A4:A9"/>
    <mergeCell ref="B4:B9"/>
    <mergeCell ref="C4:C9"/>
    <mergeCell ref="D4:D9"/>
  </mergeCells>
  <phoneticPr fontId="6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workbookViewId="0">
      <selection activeCell="D25" sqref="D25"/>
    </sheetView>
  </sheetViews>
  <sheetFormatPr defaultColWidth="9" defaultRowHeight="14.25"/>
  <cols>
    <col min="1" max="1" width="9" style="2"/>
    <col min="2" max="2" width="12.875" style="2" customWidth="1"/>
    <col min="3" max="3" width="9" style="2"/>
    <col min="4" max="4" width="11.875" style="2" customWidth="1"/>
    <col min="5" max="5" width="13.5" style="2" customWidth="1"/>
    <col min="6" max="6" width="17" style="2" customWidth="1"/>
    <col min="7" max="7" width="13.5" style="2" customWidth="1"/>
    <col min="8" max="8" width="17.625" style="2" customWidth="1"/>
    <col min="9" max="9" width="27.125" style="2" customWidth="1"/>
    <col min="10" max="16384" width="9" style="2"/>
  </cols>
  <sheetData>
    <row r="1" spans="1:9" ht="19.5" thickBot="1">
      <c r="A1" s="210" t="s">
        <v>151</v>
      </c>
      <c r="B1" s="210"/>
      <c r="C1" s="210"/>
      <c r="D1" s="210"/>
      <c r="E1" s="210"/>
      <c r="F1" s="210"/>
      <c r="G1" s="210"/>
      <c r="H1" s="210"/>
      <c r="I1" s="210"/>
    </row>
    <row r="2" spans="1:9" ht="30" thickBot="1">
      <c r="A2" s="44" t="s">
        <v>88</v>
      </c>
      <c r="B2" s="59" t="s">
        <v>89</v>
      </c>
      <c r="C2" s="59" t="s">
        <v>56</v>
      </c>
      <c r="D2" s="59" t="s">
        <v>57</v>
      </c>
      <c r="E2" s="59" t="s">
        <v>58</v>
      </c>
      <c r="F2" s="59" t="s">
        <v>59</v>
      </c>
      <c r="G2" s="59" t="s">
        <v>140</v>
      </c>
      <c r="H2" s="59" t="s">
        <v>60</v>
      </c>
      <c r="I2" s="59" t="s">
        <v>61</v>
      </c>
    </row>
    <row r="3" spans="1:9" ht="15.75" thickBot="1">
      <c r="A3" s="212"/>
      <c r="B3" s="119" t="s">
        <v>240</v>
      </c>
      <c r="C3" s="6">
        <v>2</v>
      </c>
      <c r="D3" s="45">
        <v>3200</v>
      </c>
      <c r="E3" s="45">
        <f t="shared" ref="E3:E5" si="0">D3*C3</f>
        <v>6400</v>
      </c>
      <c r="F3" s="45">
        <f t="shared" ref="F3:F5" si="1">E3*12</f>
        <v>76800</v>
      </c>
      <c r="G3" s="45">
        <f>ROUND((B12*(B13+C13)+D12*D13+E12*(E13+F13))*C3*12,0)</f>
        <v>29135</v>
      </c>
      <c r="H3" s="45">
        <f t="shared" ref="H3:H4" si="2">F3+G3</f>
        <v>105935</v>
      </c>
      <c r="I3" s="10"/>
    </row>
    <row r="4" spans="1:9" ht="15.75" thickBot="1">
      <c r="A4" s="212"/>
      <c r="B4" s="73" t="s">
        <v>178</v>
      </c>
      <c r="C4" s="72">
        <v>8</v>
      </c>
      <c r="D4" s="45">
        <v>2800</v>
      </c>
      <c r="E4" s="45">
        <f t="shared" si="0"/>
        <v>22400</v>
      </c>
      <c r="F4" s="45">
        <f t="shared" si="1"/>
        <v>268800</v>
      </c>
      <c r="G4" s="45">
        <f>ROUND((B12*(B13+C13)+D12*D13+E12*(E13+F13))*C4*12,0)</f>
        <v>116541</v>
      </c>
      <c r="H4" s="45">
        <f t="shared" si="2"/>
        <v>385341</v>
      </c>
      <c r="I4" s="10"/>
    </row>
    <row r="5" spans="1:9" ht="15.75" thickBot="1">
      <c r="A5" s="213"/>
      <c r="B5" s="3" t="s">
        <v>150</v>
      </c>
      <c r="C5" s="3">
        <v>6</v>
      </c>
      <c r="D5" s="45">
        <f>D4</f>
        <v>2800</v>
      </c>
      <c r="E5" s="45">
        <f t="shared" si="0"/>
        <v>16800</v>
      </c>
      <c r="F5" s="45">
        <f t="shared" si="1"/>
        <v>201600</v>
      </c>
      <c r="G5" s="45">
        <f>ROUND((B12*(B13+C13)+D12*D13+E12*(E13+F13))*C5*12,0)</f>
        <v>87405</v>
      </c>
      <c r="H5" s="45">
        <f>F5+G5</f>
        <v>289005</v>
      </c>
      <c r="I5" s="63"/>
    </row>
    <row r="6" spans="1:9" ht="16.5" thickBot="1">
      <c r="A6" s="203" t="s">
        <v>74</v>
      </c>
      <c r="B6" s="204"/>
      <c r="C6" s="31">
        <f>SUM(C3:C5)</f>
        <v>16</v>
      </c>
      <c r="D6" s="31"/>
      <c r="E6" s="31"/>
      <c r="F6" s="31"/>
      <c r="G6" s="31"/>
      <c r="H6" s="46">
        <f>SUM(H3:H5)</f>
        <v>780281</v>
      </c>
      <c r="I6" s="26"/>
    </row>
    <row r="7" spans="1:9" ht="15.75" thickBot="1">
      <c r="A7" s="171" t="s">
        <v>313</v>
      </c>
      <c r="B7" s="205"/>
      <c r="C7" s="205"/>
      <c r="D7" s="205"/>
      <c r="E7" s="205"/>
      <c r="F7" s="205"/>
      <c r="G7" s="205"/>
      <c r="H7" s="172"/>
      <c r="I7" s="34">
        <v>0.28100000000000003</v>
      </c>
    </row>
    <row r="10" spans="1:9">
      <c r="A10" s="35" t="s">
        <v>77</v>
      </c>
      <c r="B10" s="35"/>
      <c r="C10" s="35"/>
      <c r="D10" s="35"/>
      <c r="E10" s="35"/>
    </row>
    <row r="11" spans="1:9">
      <c r="A11" s="35" t="s">
        <v>78</v>
      </c>
      <c r="B11" s="35" t="s">
        <v>79</v>
      </c>
      <c r="C11" s="35" t="s">
        <v>80</v>
      </c>
      <c r="D11" s="35" t="s">
        <v>81</v>
      </c>
      <c r="E11" s="35" t="s">
        <v>82</v>
      </c>
      <c r="F11" s="35" t="s">
        <v>83</v>
      </c>
    </row>
    <row r="12" spans="1:9">
      <c r="A12" s="35" t="s">
        <v>85</v>
      </c>
      <c r="B12" s="121">
        <v>3640</v>
      </c>
      <c r="C12" s="121">
        <f>B12</f>
        <v>3640</v>
      </c>
      <c r="D12" s="121">
        <v>4713</v>
      </c>
      <c r="E12" s="121">
        <v>5360</v>
      </c>
      <c r="F12" s="121">
        <f>E12</f>
        <v>5360</v>
      </c>
    </row>
    <row r="13" spans="1:9">
      <c r="A13" s="36" t="s">
        <v>86</v>
      </c>
      <c r="B13" s="37">
        <v>0.16</v>
      </c>
      <c r="C13" s="38">
        <v>8.0000000000000002E-3</v>
      </c>
      <c r="D13" s="38">
        <v>5.0000000000000001E-3</v>
      </c>
      <c r="E13" s="38">
        <v>8.0000000000000002E-3</v>
      </c>
      <c r="F13" s="37">
        <v>0.1</v>
      </c>
    </row>
    <row r="14" spans="1:9">
      <c r="A14" s="39" t="s">
        <v>87</v>
      </c>
      <c r="B14" s="40">
        <v>0.2</v>
      </c>
      <c r="C14" s="41">
        <v>0.01</v>
      </c>
      <c r="D14" s="39" t="s">
        <v>2</v>
      </c>
      <c r="E14" s="41">
        <v>8.0000000000000002E-3</v>
      </c>
      <c r="F14" s="40">
        <v>0.1</v>
      </c>
      <c r="H14" s="68"/>
    </row>
  </sheetData>
  <mergeCells count="4">
    <mergeCell ref="A1:I1"/>
    <mergeCell ref="A6:B6"/>
    <mergeCell ref="A7:H7"/>
    <mergeCell ref="A3:A5"/>
  </mergeCells>
  <phoneticPr fontId="6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workbookViewId="0">
      <selection activeCell="C16" sqref="C16"/>
    </sheetView>
  </sheetViews>
  <sheetFormatPr defaultColWidth="9" defaultRowHeight="14.25"/>
  <cols>
    <col min="1" max="4" width="16.125" style="2" customWidth="1"/>
    <col min="5" max="16384" width="9" style="2"/>
  </cols>
  <sheetData>
    <row r="1" spans="1:6" ht="19.5" thickBot="1">
      <c r="A1" s="210" t="s">
        <v>158</v>
      </c>
      <c r="B1" s="210"/>
      <c r="C1" s="210"/>
      <c r="D1" s="210"/>
    </row>
    <row r="2" spans="1:6" ht="15.75" thickBot="1">
      <c r="A2" s="6" t="s">
        <v>3</v>
      </c>
      <c r="B2" s="3" t="s">
        <v>159</v>
      </c>
      <c r="C2" s="3" t="s">
        <v>160</v>
      </c>
      <c r="D2" s="3" t="s">
        <v>124</v>
      </c>
    </row>
    <row r="3" spans="1:6" ht="15.75" thickBot="1">
      <c r="A3" s="6" t="s">
        <v>152</v>
      </c>
      <c r="B3" s="3">
        <v>100</v>
      </c>
      <c r="C3" s="3">
        <v>10</v>
      </c>
      <c r="D3" s="11">
        <f>B3*C3</f>
        <v>1000</v>
      </c>
      <c r="E3" s="80"/>
      <c r="F3" s="79"/>
    </row>
    <row r="4" spans="1:6" ht="15.75" thickBot="1">
      <c r="A4" s="6" t="s">
        <v>153</v>
      </c>
      <c r="B4" s="3">
        <v>500</v>
      </c>
      <c r="C4" s="3">
        <v>12</v>
      </c>
      <c r="D4" s="11">
        <f>B4*C4</f>
        <v>6000</v>
      </c>
    </row>
    <row r="5" spans="1:6" ht="15.75" thickBot="1">
      <c r="A5" s="6"/>
      <c r="B5" s="3" t="s">
        <v>154</v>
      </c>
      <c r="C5" s="3" t="s">
        <v>155</v>
      </c>
      <c r="D5" s="3" t="s">
        <v>124</v>
      </c>
    </row>
    <row r="6" spans="1:6" ht="15.75" thickBot="1">
      <c r="A6" s="6" t="s">
        <v>156</v>
      </c>
      <c r="B6" s="3">
        <v>300</v>
      </c>
      <c r="C6" s="3">
        <v>12</v>
      </c>
      <c r="D6" s="11">
        <f>B6*C6</f>
        <v>3600</v>
      </c>
    </row>
    <row r="7" spans="1:6" ht="15.75" thickBot="1">
      <c r="A7" s="6" t="s">
        <v>157</v>
      </c>
      <c r="B7" s="3">
        <v>1500</v>
      </c>
      <c r="C7" s="3">
        <v>2</v>
      </c>
      <c r="D7" s="11">
        <f>B7*C7</f>
        <v>3000</v>
      </c>
    </row>
    <row r="8" spans="1:6" ht="16.5" thickBot="1">
      <c r="A8" s="241" t="s">
        <v>17</v>
      </c>
      <c r="B8" s="242"/>
      <c r="C8" s="243"/>
      <c r="D8" s="7">
        <f>D3+D4+D6+D7</f>
        <v>13600</v>
      </c>
    </row>
  </sheetData>
  <mergeCells count="2">
    <mergeCell ref="A1:D1"/>
    <mergeCell ref="A8:C8"/>
  </mergeCells>
  <phoneticPr fontId="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workbookViewId="0">
      <selection activeCell="C10" sqref="C10:D10"/>
    </sheetView>
  </sheetViews>
  <sheetFormatPr defaultColWidth="8.875" defaultRowHeight="13.5"/>
  <cols>
    <col min="1" max="4" width="12.125" customWidth="1"/>
    <col min="5" max="5" width="17.125" customWidth="1"/>
  </cols>
  <sheetData>
    <row r="1" spans="1:6" ht="19.5" thickBot="1">
      <c r="A1" s="210" t="s">
        <v>167</v>
      </c>
      <c r="B1" s="210"/>
      <c r="C1" s="210"/>
      <c r="D1" s="210"/>
      <c r="E1" s="210"/>
    </row>
    <row r="2" spans="1:6" ht="15.75" thickBot="1">
      <c r="A2" s="253" t="s">
        <v>3</v>
      </c>
      <c r="B2" s="255" t="s">
        <v>94</v>
      </c>
      <c r="C2" s="256"/>
      <c r="D2" s="257"/>
      <c r="E2" s="229" t="s">
        <v>124</v>
      </c>
    </row>
    <row r="3" spans="1:6" ht="15" thickBot="1">
      <c r="A3" s="254"/>
      <c r="B3" s="3" t="s">
        <v>4</v>
      </c>
      <c r="C3" s="3" t="s">
        <v>97</v>
      </c>
      <c r="D3" s="3" t="s">
        <v>96</v>
      </c>
      <c r="E3" s="207"/>
    </row>
    <row r="4" spans="1:6" ht="15.75" thickBot="1">
      <c r="A4" s="67" t="s">
        <v>161</v>
      </c>
      <c r="B4" s="3">
        <v>2</v>
      </c>
      <c r="C4" s="3">
        <v>300</v>
      </c>
      <c r="D4" s="3">
        <v>12</v>
      </c>
      <c r="E4" s="11">
        <f>B4*C4*D4</f>
        <v>7200</v>
      </c>
    </row>
    <row r="5" spans="1:6" ht="15.75" thickBot="1">
      <c r="A5" s="44" t="s">
        <v>162</v>
      </c>
      <c r="B5" s="3">
        <f>'1员工工资'!C10+'2工程人员工资'!C5+'3-1环境人员工资'!C5+'5秩序维护人员工资 '!C6</f>
        <v>43</v>
      </c>
      <c r="C5" s="49">
        <v>10</v>
      </c>
      <c r="D5" s="49">
        <v>12</v>
      </c>
      <c r="E5" s="11">
        <f t="shared" ref="E5:E7" si="0">B5*C5*D5</f>
        <v>5160</v>
      </c>
    </row>
    <row r="6" spans="1:6" ht="15.75" thickBot="1">
      <c r="A6" s="6" t="s">
        <v>163</v>
      </c>
      <c r="B6" s="3">
        <f>B5</f>
        <v>43</v>
      </c>
      <c r="C6" s="49">
        <v>15</v>
      </c>
      <c r="D6" s="49">
        <f>D5</f>
        <v>12</v>
      </c>
      <c r="E6" s="11">
        <f t="shared" si="0"/>
        <v>7740</v>
      </c>
    </row>
    <row r="7" spans="1:6" ht="29.25" thickBot="1">
      <c r="A7" s="6" t="s">
        <v>164</v>
      </c>
      <c r="B7" s="3">
        <f>B5</f>
        <v>43</v>
      </c>
      <c r="C7" s="49">
        <v>10</v>
      </c>
      <c r="D7" s="49">
        <f>D5</f>
        <v>12</v>
      </c>
      <c r="E7" s="11">
        <f t="shared" si="0"/>
        <v>5160</v>
      </c>
    </row>
    <row r="8" spans="1:6" ht="15.75" hidden="1" thickBot="1">
      <c r="A8" s="118" t="s">
        <v>233</v>
      </c>
      <c r="B8" s="101">
        <f>B5</f>
        <v>43</v>
      </c>
      <c r="C8" s="101">
        <v>330</v>
      </c>
      <c r="D8" s="101">
        <f>D5</f>
        <v>12</v>
      </c>
      <c r="E8" s="11">
        <v>0</v>
      </c>
    </row>
    <row r="9" spans="1:6" ht="15.75" thickBot="1">
      <c r="A9" s="6" t="s">
        <v>165</v>
      </c>
      <c r="B9" s="3">
        <f>B5</f>
        <v>43</v>
      </c>
      <c r="C9" s="260">
        <v>800</v>
      </c>
      <c r="D9" s="261"/>
      <c r="E9" s="11">
        <f>B9*C9</f>
        <v>34400</v>
      </c>
    </row>
    <row r="10" spans="1:6" ht="15.75" thickBot="1">
      <c r="A10" s="6" t="s">
        <v>166</v>
      </c>
      <c r="B10" s="3">
        <v>4</v>
      </c>
      <c r="C10" s="258">
        <v>2000</v>
      </c>
      <c r="D10" s="259"/>
      <c r="E10" s="11">
        <f>B10*C10</f>
        <v>8000</v>
      </c>
      <c r="F10" s="81"/>
    </row>
    <row r="11" spans="1:6" ht="16.5" thickBot="1">
      <c r="A11" s="241" t="s">
        <v>17</v>
      </c>
      <c r="B11" s="242"/>
      <c r="C11" s="242"/>
      <c r="D11" s="243"/>
      <c r="E11" s="7">
        <f>SUM(E4:E10)</f>
        <v>67660</v>
      </c>
    </row>
  </sheetData>
  <mergeCells count="7">
    <mergeCell ref="A1:E1"/>
    <mergeCell ref="A2:A3"/>
    <mergeCell ref="B2:D2"/>
    <mergeCell ref="C10:D10"/>
    <mergeCell ref="A11:D11"/>
    <mergeCell ref="C9:D9"/>
    <mergeCell ref="E2:E3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workbookViewId="0">
      <selection activeCell="C30" sqref="C30"/>
    </sheetView>
  </sheetViews>
  <sheetFormatPr defaultColWidth="9" defaultRowHeight="14.25"/>
  <cols>
    <col min="1" max="1" width="13.875" style="2" customWidth="1"/>
    <col min="2" max="2" width="14.625" style="2" customWidth="1"/>
    <col min="3" max="3" width="23.375" style="2" customWidth="1"/>
    <col min="4" max="16384" width="9" style="2"/>
  </cols>
  <sheetData>
    <row r="1" spans="1:5" ht="19.5" thickBot="1">
      <c r="A1" s="210" t="s">
        <v>170</v>
      </c>
      <c r="B1" s="210"/>
      <c r="C1" s="210"/>
      <c r="D1" s="210"/>
    </row>
    <row r="2" spans="1:5" ht="15" thickBot="1">
      <c r="A2" s="6" t="s">
        <v>3</v>
      </c>
      <c r="B2" s="3" t="s">
        <v>94</v>
      </c>
      <c r="C2" s="3" t="s">
        <v>168</v>
      </c>
      <c r="D2" s="3" t="s">
        <v>61</v>
      </c>
    </row>
    <row r="3" spans="1:5" ht="15.75" thickBot="1">
      <c r="A3" s="6" t="s">
        <v>169</v>
      </c>
      <c r="B3" s="3" t="s">
        <v>171</v>
      </c>
      <c r="C3" s="11">
        <f>汇总表!D17*0.1</f>
        <v>11271.669000000002</v>
      </c>
      <c r="D3" s="82">
        <v>0.1</v>
      </c>
      <c r="E3" s="79"/>
    </row>
    <row r="4" spans="1:5" ht="16.5" thickBot="1">
      <c r="A4" s="241" t="s">
        <v>17</v>
      </c>
      <c r="B4" s="243"/>
      <c r="C4" s="7">
        <f>C3</f>
        <v>11271.669000000002</v>
      </c>
      <c r="D4" s="9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6"/>
  <sheetViews>
    <sheetView workbookViewId="0">
      <selection activeCell="D4" sqref="D4"/>
    </sheetView>
  </sheetViews>
  <sheetFormatPr defaultColWidth="9" defaultRowHeight="14.25"/>
  <cols>
    <col min="1" max="1" width="9" style="2"/>
    <col min="2" max="2" width="17.125" style="2" customWidth="1"/>
    <col min="3" max="3" width="18.375" style="2" customWidth="1"/>
    <col min="4" max="4" width="13.125" style="2" customWidth="1"/>
    <col min="5" max="16384" width="9" style="2"/>
  </cols>
  <sheetData>
    <row r="1" spans="1:4" ht="19.5" thickBot="1">
      <c r="A1" s="210" t="s">
        <v>176</v>
      </c>
      <c r="B1" s="210"/>
      <c r="C1" s="210"/>
      <c r="D1" s="210"/>
    </row>
    <row r="2" spans="1:4" ht="15" thickBot="1">
      <c r="A2" s="6" t="s">
        <v>3</v>
      </c>
      <c r="B2" s="3" t="s">
        <v>172</v>
      </c>
      <c r="C2" s="3" t="s">
        <v>173</v>
      </c>
      <c r="D2" s="3" t="s">
        <v>61</v>
      </c>
    </row>
    <row r="3" spans="1:4" ht="15.75" thickBot="1">
      <c r="A3" s="67" t="s">
        <v>174</v>
      </c>
      <c r="B3" s="3" t="s">
        <v>175</v>
      </c>
      <c r="C3" s="11">
        <f>汇总表!D17*12*D3</f>
        <v>54104.011200000001</v>
      </c>
      <c r="D3" s="3">
        <v>0.04</v>
      </c>
    </row>
    <row r="4" spans="1:4" ht="16.5" thickBot="1">
      <c r="A4" s="241" t="s">
        <v>17</v>
      </c>
      <c r="B4" s="243"/>
      <c r="C4" s="7">
        <f>C3</f>
        <v>54104.011200000001</v>
      </c>
      <c r="D4" s="69"/>
    </row>
    <row r="6" spans="1:4">
      <c r="C6" s="2">
        <v>256244.9</v>
      </c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3"/>
  <sheetViews>
    <sheetView zoomScale="115" zoomScaleNormal="115" workbookViewId="0">
      <selection activeCell="D15" sqref="D15:G15"/>
    </sheetView>
  </sheetViews>
  <sheetFormatPr defaultColWidth="9" defaultRowHeight="14.25"/>
  <cols>
    <col min="1" max="1" width="6.125" style="2" customWidth="1"/>
    <col min="2" max="2" width="13.625" style="134" customWidth="1"/>
    <col min="3" max="6" width="10.375" style="134" customWidth="1"/>
    <col min="7" max="7" width="7.125" style="134" customWidth="1"/>
    <col min="8" max="15" width="10.375" style="134" customWidth="1"/>
    <col min="16" max="16384" width="9" style="2"/>
  </cols>
  <sheetData>
    <row r="1" spans="1:15">
      <c r="A1" s="269" t="s">
        <v>253</v>
      </c>
      <c r="B1" s="269" t="s">
        <v>254</v>
      </c>
      <c r="C1" s="269" t="s">
        <v>255</v>
      </c>
      <c r="D1" s="270" t="s">
        <v>256</v>
      </c>
      <c r="E1" s="270"/>
      <c r="F1" s="270"/>
      <c r="G1" s="270"/>
      <c r="H1" s="270"/>
      <c r="I1" s="270"/>
      <c r="J1" s="270" t="s">
        <v>257</v>
      </c>
      <c r="K1" s="270"/>
      <c r="L1" s="270"/>
      <c r="M1" s="270"/>
      <c r="N1" s="270"/>
      <c r="O1" s="270"/>
    </row>
    <row r="2" spans="1:15" s="131" customFormat="1" ht="34.5" customHeight="1">
      <c r="A2" s="269"/>
      <c r="B2" s="269"/>
      <c r="C2" s="269"/>
      <c r="D2" s="130" t="s">
        <v>258</v>
      </c>
      <c r="E2" s="130" t="s">
        <v>259</v>
      </c>
      <c r="F2" s="130" t="s">
        <v>260</v>
      </c>
      <c r="G2" s="130" t="s">
        <v>261</v>
      </c>
      <c r="H2" s="130" t="s">
        <v>262</v>
      </c>
      <c r="I2" s="130" t="s">
        <v>263</v>
      </c>
      <c r="J2" s="130" t="s">
        <v>264</v>
      </c>
      <c r="K2" s="130" t="s">
        <v>265</v>
      </c>
      <c r="L2" s="130" t="s">
        <v>266</v>
      </c>
      <c r="M2" s="130" t="s">
        <v>267</v>
      </c>
      <c r="N2" s="130" t="s">
        <v>268</v>
      </c>
      <c r="O2" s="130" t="s">
        <v>263</v>
      </c>
    </row>
    <row r="3" spans="1:15">
      <c r="A3" s="132" t="s">
        <v>249</v>
      </c>
      <c r="B3" s="132">
        <v>89347.096999999994</v>
      </c>
      <c r="C3" s="132">
        <f>I3+O3</f>
        <v>111878.19</v>
      </c>
      <c r="D3" s="132">
        <v>56357.72</v>
      </c>
      <c r="E3" s="132">
        <v>6343.35</v>
      </c>
      <c r="F3" s="132">
        <v>1071.68</v>
      </c>
      <c r="G3" s="132">
        <v>30</v>
      </c>
      <c r="H3" s="132">
        <v>387</v>
      </c>
      <c r="I3" s="132">
        <f>SUM(D3:H3)</f>
        <v>64189.75</v>
      </c>
      <c r="J3" s="132">
        <v>16082.48</v>
      </c>
      <c r="K3" s="132">
        <v>11357.21</v>
      </c>
      <c r="L3" s="132">
        <v>10135.129999999999</v>
      </c>
      <c r="M3" s="132">
        <v>10042.780000000001</v>
      </c>
      <c r="N3" s="132">
        <v>70.84</v>
      </c>
      <c r="O3" s="132">
        <f>SUM(J3:N3)</f>
        <v>47688.439999999995</v>
      </c>
    </row>
    <row r="4" spans="1:15">
      <c r="A4" s="132" t="s">
        <v>250</v>
      </c>
      <c r="B4" s="132">
        <v>83732.679000000004</v>
      </c>
      <c r="C4" s="132">
        <f>I4+O4</f>
        <v>233194.34</v>
      </c>
      <c r="D4" s="132">
        <v>56358.97</v>
      </c>
      <c r="E4" s="132">
        <v>5188.03</v>
      </c>
      <c r="F4" s="132">
        <v>1448.17</v>
      </c>
      <c r="G4" s="132" t="s">
        <v>251</v>
      </c>
      <c r="H4" s="132">
        <v>394</v>
      </c>
      <c r="I4" s="132">
        <f>SUM(D4:H5)</f>
        <v>190968.09</v>
      </c>
      <c r="J4" s="132">
        <v>15071.88</v>
      </c>
      <c r="K4" s="132">
        <v>9763.2099999999991</v>
      </c>
      <c r="L4" s="132">
        <v>10296.620000000001</v>
      </c>
      <c r="M4" s="132">
        <v>7024.39</v>
      </c>
      <c r="N4" s="132">
        <v>70.150000000000006</v>
      </c>
      <c r="O4" s="132">
        <f>SUM(J4:N4)</f>
        <v>42226.25</v>
      </c>
    </row>
    <row r="5" spans="1:15">
      <c r="A5" s="132" t="s">
        <v>252</v>
      </c>
      <c r="B5" s="133">
        <f>SUM(B3:B4)</f>
        <v>173079.77600000001</v>
      </c>
      <c r="C5" s="132">
        <f>SUM(C3:C4)</f>
        <v>345072.53</v>
      </c>
      <c r="D5" s="133">
        <f t="shared" ref="D5:O5" si="0">SUM(D3:D4)</f>
        <v>112716.69</v>
      </c>
      <c r="E5" s="133">
        <f t="shared" si="0"/>
        <v>11531.380000000001</v>
      </c>
      <c r="F5" s="132">
        <f t="shared" si="0"/>
        <v>2519.8500000000004</v>
      </c>
      <c r="G5" s="132">
        <f t="shared" si="0"/>
        <v>30</v>
      </c>
      <c r="H5" s="132">
        <f t="shared" si="0"/>
        <v>781</v>
      </c>
      <c r="I5" s="132">
        <f t="shared" si="0"/>
        <v>255157.84</v>
      </c>
      <c r="J5" s="132">
        <f t="shared" si="0"/>
        <v>31154.36</v>
      </c>
      <c r="K5" s="132">
        <f t="shared" si="0"/>
        <v>21120.42</v>
      </c>
      <c r="L5" s="132">
        <f t="shared" si="0"/>
        <v>20431.75</v>
      </c>
      <c r="M5" s="132">
        <f t="shared" si="0"/>
        <v>17067.170000000002</v>
      </c>
      <c r="N5" s="132">
        <f t="shared" si="0"/>
        <v>140.99</v>
      </c>
      <c r="O5" s="132">
        <f t="shared" si="0"/>
        <v>89914.69</v>
      </c>
    </row>
    <row r="15" spans="1:15">
      <c r="B15" s="134">
        <f>(D5+E5)/9200</f>
        <v>13.505225000000001</v>
      </c>
      <c r="D15" s="267" t="s">
        <v>299</v>
      </c>
      <c r="E15" s="267"/>
      <c r="F15" s="267"/>
      <c r="G15" s="267"/>
    </row>
    <row r="16" spans="1:15">
      <c r="D16" s="149" t="s">
        <v>300</v>
      </c>
      <c r="E16" s="149" t="s">
        <v>301</v>
      </c>
      <c r="F16" s="149" t="s">
        <v>302</v>
      </c>
      <c r="G16" s="149" t="s">
        <v>303</v>
      </c>
    </row>
    <row r="17" spans="4:7" ht="15">
      <c r="D17" s="265">
        <v>1</v>
      </c>
      <c r="E17" s="264" t="s">
        <v>119</v>
      </c>
      <c r="F17" s="150" t="s">
        <v>99</v>
      </c>
      <c r="G17" s="151">
        <v>4</v>
      </c>
    </row>
    <row r="18" spans="4:7" ht="15">
      <c r="D18" s="265"/>
      <c r="E18" s="264"/>
      <c r="F18" s="150" t="s">
        <v>278</v>
      </c>
      <c r="G18" s="151">
        <v>4</v>
      </c>
    </row>
    <row r="19" spans="4:7" ht="15">
      <c r="D19" s="265"/>
      <c r="E19" s="264"/>
      <c r="F19" s="152" t="s">
        <v>100</v>
      </c>
      <c r="G19" s="151">
        <v>133</v>
      </c>
    </row>
    <row r="20" spans="4:7" ht="15">
      <c r="D20" s="153">
        <v>2</v>
      </c>
      <c r="E20" s="154" t="s">
        <v>310</v>
      </c>
      <c r="F20" s="154" t="s">
        <v>311</v>
      </c>
      <c r="G20" s="151">
        <v>28</v>
      </c>
    </row>
    <row r="21" spans="4:7">
      <c r="D21" s="265">
        <v>3</v>
      </c>
      <c r="E21" s="268" t="s">
        <v>285</v>
      </c>
      <c r="F21" s="152" t="s">
        <v>101</v>
      </c>
      <c r="G21" s="152">
        <v>2</v>
      </c>
    </row>
    <row r="22" spans="4:7">
      <c r="D22" s="265"/>
      <c r="E22" s="268"/>
      <c r="F22" s="152" t="s">
        <v>284</v>
      </c>
      <c r="G22" s="152">
        <v>2</v>
      </c>
    </row>
    <row r="23" spans="4:7">
      <c r="D23" s="265">
        <v>4</v>
      </c>
      <c r="E23" s="264" t="s">
        <v>102</v>
      </c>
      <c r="F23" s="152" t="s">
        <v>104</v>
      </c>
      <c r="G23" s="152">
        <v>1305</v>
      </c>
    </row>
    <row r="24" spans="4:7">
      <c r="D24" s="265"/>
      <c r="E24" s="264"/>
      <c r="F24" s="152" t="s">
        <v>286</v>
      </c>
      <c r="G24" s="155">
        <v>1</v>
      </c>
    </row>
    <row r="25" spans="4:7">
      <c r="D25" s="265"/>
      <c r="E25" s="264"/>
      <c r="F25" s="152" t="s">
        <v>287</v>
      </c>
      <c r="G25" s="155">
        <v>1</v>
      </c>
    </row>
    <row r="26" spans="4:7">
      <c r="D26" s="265"/>
      <c r="E26" s="264"/>
      <c r="F26" s="152" t="s">
        <v>103</v>
      </c>
      <c r="G26" s="155">
        <v>1</v>
      </c>
    </row>
    <row r="27" spans="4:7">
      <c r="D27" s="265">
        <v>5</v>
      </c>
      <c r="E27" s="264" t="s">
        <v>105</v>
      </c>
      <c r="F27" s="152" t="s">
        <v>106</v>
      </c>
      <c r="G27" s="152">
        <v>2</v>
      </c>
    </row>
    <row r="28" spans="4:7">
      <c r="D28" s="265"/>
      <c r="E28" s="264"/>
      <c r="F28" s="152" t="s">
        <v>107</v>
      </c>
      <c r="G28" s="152">
        <v>2</v>
      </c>
    </row>
    <row r="29" spans="4:7">
      <c r="D29" s="153">
        <v>6</v>
      </c>
      <c r="E29" s="149" t="s">
        <v>304</v>
      </c>
      <c r="F29" s="153" t="s">
        <v>305</v>
      </c>
      <c r="G29" s="156">
        <v>4</v>
      </c>
    </row>
    <row r="30" spans="4:7">
      <c r="D30" s="148"/>
      <c r="E30" s="148"/>
      <c r="F30" s="147"/>
      <c r="G30" s="148"/>
    </row>
    <row r="31" spans="4:7">
      <c r="D31" s="266" t="s">
        <v>306</v>
      </c>
      <c r="E31" s="266"/>
      <c r="F31" s="266"/>
      <c r="G31" s="266"/>
    </row>
    <row r="32" spans="4:7">
      <c r="D32" s="262" t="s">
        <v>307</v>
      </c>
      <c r="E32" s="262"/>
      <c r="F32" s="262" t="s">
        <v>308</v>
      </c>
      <c r="G32" s="262"/>
    </row>
    <row r="33" spans="4:7">
      <c r="D33" s="262" t="s">
        <v>309</v>
      </c>
      <c r="E33" s="262"/>
      <c r="F33" s="263">
        <v>112716.69</v>
      </c>
      <c r="G33" s="263"/>
    </row>
  </sheetData>
  <mergeCells count="19">
    <mergeCell ref="B1:B2"/>
    <mergeCell ref="D1:I1"/>
    <mergeCell ref="A1:A2"/>
    <mergeCell ref="J1:O1"/>
    <mergeCell ref="C1:C2"/>
    <mergeCell ref="E23:E26"/>
    <mergeCell ref="D23:D26"/>
    <mergeCell ref="D15:G15"/>
    <mergeCell ref="E17:E19"/>
    <mergeCell ref="D17:D19"/>
    <mergeCell ref="D21:D22"/>
    <mergeCell ref="E21:E22"/>
    <mergeCell ref="D33:E33"/>
    <mergeCell ref="F33:G33"/>
    <mergeCell ref="E27:E28"/>
    <mergeCell ref="D27:D28"/>
    <mergeCell ref="D31:G31"/>
    <mergeCell ref="D32:E32"/>
    <mergeCell ref="F32:G32"/>
  </mergeCells>
  <phoneticPr fontId="6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I23"/>
  <sheetViews>
    <sheetView view="pageBreakPreview" zoomScale="80" zoomScaleNormal="100" zoomScaleSheetLayoutView="80" workbookViewId="0">
      <selection activeCell="C10" sqref="C10"/>
    </sheetView>
  </sheetViews>
  <sheetFormatPr defaultColWidth="14.625" defaultRowHeight="13.5"/>
  <cols>
    <col min="1" max="1" width="24.375" style="105" customWidth="1"/>
    <col min="2" max="16384" width="14.625" style="105"/>
  </cols>
  <sheetData>
    <row r="1" spans="1:9" ht="16.5">
      <c r="A1" s="102" t="s">
        <v>199</v>
      </c>
      <c r="B1" s="102">
        <f>SUM(B14:B23)</f>
        <v>112716.69</v>
      </c>
      <c r="C1" s="103"/>
      <c r="D1" s="103"/>
      <c r="E1" s="103"/>
      <c r="F1" s="103"/>
      <c r="G1" s="104"/>
    </row>
    <row r="2" spans="1:9" ht="16.5">
      <c r="A2" s="102" t="s">
        <v>200</v>
      </c>
      <c r="B2" s="102">
        <f>SUM(C14:C23)</f>
        <v>0</v>
      </c>
      <c r="C2" s="103"/>
      <c r="D2" s="103"/>
      <c r="E2" s="103"/>
      <c r="F2" s="103"/>
      <c r="G2" s="104"/>
    </row>
    <row r="3" spans="1:9" ht="16.5">
      <c r="A3" s="102" t="s">
        <v>201</v>
      </c>
      <c r="B3" s="106">
        <v>44071</v>
      </c>
      <c r="C3" s="103"/>
      <c r="D3" s="103"/>
      <c r="E3" s="103"/>
      <c r="F3" s="103"/>
      <c r="G3" s="104"/>
    </row>
    <row r="4" spans="1:9" ht="33">
      <c r="A4" s="102" t="s">
        <v>202</v>
      </c>
      <c r="B4" s="102" t="s">
        <v>203</v>
      </c>
      <c r="C4" s="102" t="s">
        <v>204</v>
      </c>
      <c r="D4" s="102" t="s">
        <v>205</v>
      </c>
      <c r="E4" s="103"/>
      <c r="F4" s="104"/>
      <c r="G4" s="104"/>
    </row>
    <row r="5" spans="1:9" ht="16.5">
      <c r="A5" s="102" t="s">
        <v>206</v>
      </c>
      <c r="B5" s="102">
        <f>SUM(D14:D23)</f>
        <v>193096.64</v>
      </c>
      <c r="C5" s="102">
        <f>ROUND(B5*10000/$B$1,0)</f>
        <v>17131</v>
      </c>
      <c r="D5" s="102" t="e">
        <f>ROUND(B5*10000/$B$2,0)</f>
        <v>#DIV/0!</v>
      </c>
      <c r="E5" s="103"/>
      <c r="F5" s="104"/>
      <c r="G5" s="104"/>
    </row>
    <row r="6" spans="1:9" ht="16.5">
      <c r="A6" s="102" t="s">
        <v>207</v>
      </c>
      <c r="B6" s="102">
        <v>193096.64</v>
      </c>
      <c r="C6" s="102">
        <v>20000</v>
      </c>
      <c r="D6" s="102" t="e">
        <f t="shared" ref="D6:D8" si="0">ROUND(B6*10000/$B$2,0)</f>
        <v>#DIV/0!</v>
      </c>
      <c r="E6" s="103"/>
      <c r="F6" s="104"/>
      <c r="G6" s="104"/>
    </row>
    <row r="7" spans="1:9" ht="16.5">
      <c r="A7" s="102" t="s">
        <v>208</v>
      </c>
      <c r="B7" s="102">
        <v>193096.64</v>
      </c>
      <c r="C7" s="102">
        <v>20000</v>
      </c>
      <c r="D7" s="102" t="e">
        <f t="shared" si="0"/>
        <v>#DIV/0!</v>
      </c>
      <c r="E7" s="103"/>
      <c r="F7" s="104"/>
      <c r="G7" s="104"/>
    </row>
    <row r="8" spans="1:9" ht="16.5">
      <c r="A8" s="102" t="s">
        <v>209</v>
      </c>
      <c r="B8" s="102">
        <v>193096.64</v>
      </c>
      <c r="C8" s="102">
        <v>20000</v>
      </c>
      <c r="D8" s="102" t="e">
        <f t="shared" si="0"/>
        <v>#DIV/0!</v>
      </c>
      <c r="E8" s="103"/>
      <c r="F8" s="104"/>
      <c r="G8" s="104"/>
    </row>
    <row r="9" spans="1:9" ht="16.5">
      <c r="A9" s="102" t="s">
        <v>210</v>
      </c>
      <c r="B9" s="102">
        <v>193096.64</v>
      </c>
      <c r="C9" s="103"/>
      <c r="D9" s="103"/>
      <c r="E9" s="103"/>
      <c r="F9" s="104"/>
      <c r="G9" s="104"/>
    </row>
    <row r="10" spans="1:9" ht="16.5">
      <c r="A10" s="102" t="s">
        <v>211</v>
      </c>
      <c r="B10" s="107">
        <f ca="1">汇总表!E21</f>
        <v>3.09</v>
      </c>
      <c r="C10" s="103"/>
      <c r="D10" s="103"/>
      <c r="E10" s="103"/>
      <c r="F10" s="104"/>
      <c r="G10" s="104"/>
    </row>
    <row r="11" spans="1:9" ht="16.5">
      <c r="A11" s="102" t="s">
        <v>212</v>
      </c>
      <c r="B11" s="102">
        <v>193096.64</v>
      </c>
      <c r="C11" s="103"/>
      <c r="D11" s="103"/>
      <c r="E11" s="103"/>
      <c r="F11" s="104"/>
      <c r="G11" s="104"/>
    </row>
    <row r="12" spans="1:9" ht="16.5">
      <c r="A12" s="103"/>
      <c r="B12" s="103"/>
      <c r="C12" s="103"/>
      <c r="D12" s="103"/>
      <c r="E12" s="103"/>
      <c r="F12" s="104"/>
      <c r="G12" s="104"/>
    </row>
    <row r="13" spans="1:9" ht="33">
      <c r="A13" s="108" t="s">
        <v>213</v>
      </c>
      <c r="B13" s="109" t="s">
        <v>199</v>
      </c>
      <c r="C13" s="109" t="s">
        <v>200</v>
      </c>
      <c r="D13" s="109" t="s">
        <v>214</v>
      </c>
      <c r="E13" s="102" t="s">
        <v>204</v>
      </c>
      <c r="F13" s="102" t="s">
        <v>205</v>
      </c>
      <c r="G13" s="109" t="s">
        <v>215</v>
      </c>
      <c r="H13" s="109" t="s">
        <v>216</v>
      </c>
      <c r="I13" s="109" t="s">
        <v>217</v>
      </c>
    </row>
    <row r="14" spans="1:9" ht="16.5">
      <c r="A14" s="110" t="s">
        <v>218</v>
      </c>
      <c r="B14" s="111">
        <f>汇总表!D21</f>
        <v>112716.69</v>
      </c>
      <c r="C14" s="111">
        <f>[1]项目基本情况!C13</f>
        <v>0</v>
      </c>
      <c r="D14" s="111">
        <v>193096.64</v>
      </c>
      <c r="E14" s="111">
        <f>ROUND(D14*10000/B14,0)</f>
        <v>17131</v>
      </c>
      <c r="F14" s="111" t="e">
        <f>ROUND(D14*10000/C14,0)</f>
        <v>#DIV/0!</v>
      </c>
      <c r="G14" s="111"/>
      <c r="H14" s="111" t="e">
        <f>IF('[1]数据-取费表'!B3="万元",IF(A14="估价对象1（结果表）",[1]结果表!D127,'[1]结果表 (1修多)'!D131),IF(A14="估价对象1（结果表）",[1]结果表!D127,'[1]结果表 (1修多)'!D131)/10000)</f>
        <v>#VALUE!</v>
      </c>
      <c r="I14" s="111" t="e">
        <f>IF('[1]数据-取费表'!B3="万元",IF(A14="估价对象1（结果表）",[1]结果表!D129,'[1]结果表 (1修多)'!D133),IF(A14="估价对象1（结果表）",[1]结果表!D129,'[1]结果表 (1修多)'!D133)/10000)</f>
        <v>#VALUE!</v>
      </c>
    </row>
    <row r="15" spans="1:9" ht="16.5">
      <c r="A15" s="112" t="s">
        <v>219</v>
      </c>
      <c r="B15" s="113"/>
      <c r="C15" s="113"/>
      <c r="D15" s="113"/>
      <c r="E15" s="111" t="e">
        <f t="shared" ref="E15:E23" si="1">ROUND(D15*10000/B15,0)</f>
        <v>#DIV/0!</v>
      </c>
      <c r="F15" s="111" t="e">
        <f t="shared" ref="F15:F23" si="2">ROUND(D15*10000/C15,0)</f>
        <v>#DIV/0!</v>
      </c>
      <c r="G15" s="114"/>
      <c r="H15" s="114"/>
      <c r="I15" s="113"/>
    </row>
    <row r="16" spans="1:9" ht="16.5">
      <c r="A16" s="112" t="s">
        <v>220</v>
      </c>
      <c r="B16" s="113"/>
      <c r="C16" s="113"/>
      <c r="D16" s="113"/>
      <c r="E16" s="111" t="e">
        <f t="shared" si="1"/>
        <v>#DIV/0!</v>
      </c>
      <c r="F16" s="111" t="e">
        <f t="shared" si="2"/>
        <v>#DIV/0!</v>
      </c>
      <c r="G16" s="114"/>
      <c r="H16" s="114"/>
      <c r="I16" s="113"/>
    </row>
    <row r="17" spans="1:9" ht="16.5">
      <c r="A17" s="112" t="s">
        <v>221</v>
      </c>
      <c r="B17" s="113"/>
      <c r="C17" s="113"/>
      <c r="D17" s="113"/>
      <c r="E17" s="111" t="e">
        <f t="shared" si="1"/>
        <v>#DIV/0!</v>
      </c>
      <c r="F17" s="111" t="e">
        <f t="shared" si="2"/>
        <v>#DIV/0!</v>
      </c>
      <c r="G17" s="114"/>
      <c r="H17" s="114"/>
      <c r="I17" s="113"/>
    </row>
    <row r="18" spans="1:9" ht="16.5">
      <c r="A18" s="112" t="s">
        <v>222</v>
      </c>
      <c r="B18" s="113"/>
      <c r="C18" s="113"/>
      <c r="D18" s="113"/>
      <c r="E18" s="111" t="e">
        <f t="shared" si="1"/>
        <v>#DIV/0!</v>
      </c>
      <c r="F18" s="111" t="e">
        <f t="shared" si="2"/>
        <v>#DIV/0!</v>
      </c>
      <c r="G18" s="113"/>
      <c r="H18" s="113"/>
      <c r="I18" s="113"/>
    </row>
    <row r="19" spans="1:9" ht="16.5">
      <c r="A19" s="112" t="s">
        <v>223</v>
      </c>
      <c r="B19" s="113"/>
      <c r="C19" s="113"/>
      <c r="D19" s="113"/>
      <c r="E19" s="111" t="e">
        <f t="shared" si="1"/>
        <v>#DIV/0!</v>
      </c>
      <c r="F19" s="111" t="e">
        <f t="shared" si="2"/>
        <v>#DIV/0!</v>
      </c>
      <c r="G19" s="113"/>
      <c r="H19" s="113"/>
      <c r="I19" s="113"/>
    </row>
    <row r="20" spans="1:9" ht="16.5">
      <c r="A20" s="112" t="s">
        <v>224</v>
      </c>
      <c r="B20" s="113"/>
      <c r="C20" s="113"/>
      <c r="D20" s="113"/>
      <c r="E20" s="111" t="e">
        <f t="shared" si="1"/>
        <v>#DIV/0!</v>
      </c>
      <c r="F20" s="111" t="e">
        <f t="shared" si="2"/>
        <v>#DIV/0!</v>
      </c>
      <c r="G20" s="113"/>
      <c r="H20" s="113"/>
      <c r="I20" s="113"/>
    </row>
    <row r="21" spans="1:9" ht="16.5">
      <c r="A21" s="112" t="s">
        <v>225</v>
      </c>
      <c r="B21" s="113"/>
      <c r="C21" s="113"/>
      <c r="D21" s="113"/>
      <c r="E21" s="111" t="e">
        <f t="shared" si="1"/>
        <v>#DIV/0!</v>
      </c>
      <c r="F21" s="111" t="e">
        <f t="shared" si="2"/>
        <v>#DIV/0!</v>
      </c>
      <c r="G21" s="113"/>
      <c r="H21" s="113"/>
      <c r="I21" s="113"/>
    </row>
    <row r="22" spans="1:9" ht="16.5">
      <c r="A22" s="112" t="s">
        <v>226</v>
      </c>
      <c r="B22" s="113"/>
      <c r="C22" s="113"/>
      <c r="D22" s="113"/>
      <c r="E22" s="111" t="e">
        <f t="shared" si="1"/>
        <v>#DIV/0!</v>
      </c>
      <c r="F22" s="111" t="e">
        <f t="shared" si="2"/>
        <v>#DIV/0!</v>
      </c>
      <c r="G22" s="113"/>
      <c r="H22" s="113"/>
      <c r="I22" s="113"/>
    </row>
    <row r="23" spans="1:9" ht="16.5">
      <c r="A23" s="112" t="s">
        <v>227</v>
      </c>
      <c r="B23" s="113"/>
      <c r="C23" s="113"/>
      <c r="D23" s="113"/>
      <c r="E23" s="115" t="e">
        <f t="shared" si="1"/>
        <v>#DIV/0!</v>
      </c>
      <c r="F23" s="115" t="e">
        <f t="shared" si="2"/>
        <v>#DIV/0!</v>
      </c>
      <c r="G23" s="113"/>
      <c r="H23" s="113"/>
      <c r="I23" s="113"/>
    </row>
  </sheetData>
  <sheetProtection formatCells="0" formatColumns="0" formatRows="0"/>
  <phoneticPr fontId="6" type="noConversion"/>
  <dataValidations disablePrompts="1" count="1">
    <dataValidation type="list" allowBlank="1" showInputMessage="1" showErrorMessage="1" sqref="A14" xr:uid="{00000000-0002-0000-0F00-000000000000}">
      <formula1>"估价对象1（结果表）,估价对象1（结果表1修多）"</formula1>
    </dataValidation>
  </dataValidations>
  <pageMargins left="0.7" right="0.7" top="0.75" bottom="0.75" header="0.3" footer="0.3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0"/>
  <sheetViews>
    <sheetView tabSelected="1" topLeftCell="A7" workbookViewId="0">
      <selection activeCell="C30" sqref="C30"/>
    </sheetView>
  </sheetViews>
  <sheetFormatPr defaultColWidth="8.875" defaultRowHeight="13.5"/>
  <cols>
    <col min="1" max="1" width="6.125" customWidth="1"/>
    <col min="2" max="2" width="12.125" customWidth="1"/>
  </cols>
  <sheetData>
    <row r="1" spans="1:6" ht="40.5">
      <c r="A1" s="122" t="s">
        <v>241</v>
      </c>
      <c r="B1" s="124" t="s">
        <v>246</v>
      </c>
      <c r="C1" s="122" t="s">
        <v>242</v>
      </c>
      <c r="D1" s="122" t="s">
        <v>243</v>
      </c>
      <c r="E1" s="122" t="s">
        <v>244</v>
      </c>
      <c r="F1" s="122" t="s">
        <v>245</v>
      </c>
    </row>
    <row r="2" spans="1:6">
      <c r="A2" s="122">
        <v>1</v>
      </c>
      <c r="B2" s="122">
        <v>36</v>
      </c>
      <c r="C2" s="122">
        <v>6</v>
      </c>
      <c r="D2" s="122" t="s">
        <v>247</v>
      </c>
      <c r="E2" s="122">
        <f>6*12</f>
        <v>72</v>
      </c>
      <c r="F2" s="122">
        <v>2017</v>
      </c>
    </row>
    <row r="3" spans="1:6">
      <c r="A3" s="122">
        <v>2</v>
      </c>
      <c r="B3" s="122">
        <v>37</v>
      </c>
      <c r="C3" s="122">
        <v>6</v>
      </c>
      <c r="D3" s="122" t="s">
        <v>247</v>
      </c>
      <c r="E3" s="122">
        <f>6*12</f>
        <v>72</v>
      </c>
      <c r="F3" s="122">
        <v>2017</v>
      </c>
    </row>
    <row r="4" spans="1:6">
      <c r="A4" s="122">
        <v>3</v>
      </c>
      <c r="B4" s="122">
        <v>38</v>
      </c>
      <c r="C4" s="122">
        <v>6</v>
      </c>
      <c r="D4" s="122" t="s">
        <v>247</v>
      </c>
      <c r="E4" s="122">
        <f>6*10</f>
        <v>60</v>
      </c>
      <c r="F4" s="122">
        <v>2017</v>
      </c>
    </row>
    <row r="5" spans="1:6">
      <c r="A5" s="122">
        <v>4</v>
      </c>
      <c r="B5" s="122">
        <v>39</v>
      </c>
      <c r="C5" s="122">
        <v>6</v>
      </c>
      <c r="D5" s="122" t="s">
        <v>247</v>
      </c>
      <c r="E5" s="122">
        <f>6*6</f>
        <v>36</v>
      </c>
      <c r="F5" s="122">
        <v>2017</v>
      </c>
    </row>
    <row r="6" spans="1:6">
      <c r="A6" s="122">
        <v>5</v>
      </c>
      <c r="B6" s="122">
        <v>40</v>
      </c>
      <c r="C6" s="122">
        <v>6</v>
      </c>
      <c r="D6" s="122" t="s">
        <v>247</v>
      </c>
      <c r="E6" s="122">
        <f>6*12</f>
        <v>72</v>
      </c>
      <c r="F6" s="122">
        <v>2017</v>
      </c>
    </row>
    <row r="7" spans="1:6">
      <c r="A7" s="122">
        <v>6</v>
      </c>
      <c r="B7" s="122">
        <v>41</v>
      </c>
      <c r="C7" s="122">
        <v>6</v>
      </c>
      <c r="D7" s="122" t="s">
        <v>247</v>
      </c>
      <c r="E7" s="122">
        <f>6*6</f>
        <v>36</v>
      </c>
      <c r="F7" s="122">
        <v>2017</v>
      </c>
    </row>
    <row r="8" spans="1:6">
      <c r="A8" s="122">
        <v>7</v>
      </c>
      <c r="B8" s="122">
        <v>42</v>
      </c>
      <c r="C8" s="122">
        <v>6</v>
      </c>
      <c r="D8" s="122" t="s">
        <v>247</v>
      </c>
      <c r="E8" s="122">
        <f>6*14</f>
        <v>84</v>
      </c>
      <c r="F8" s="122">
        <v>2017</v>
      </c>
    </row>
    <row r="9" spans="1:6">
      <c r="A9" s="122">
        <v>8</v>
      </c>
      <c r="B9" s="122">
        <v>44</v>
      </c>
      <c r="C9" s="122">
        <v>6</v>
      </c>
      <c r="D9" s="122" t="s">
        <v>247</v>
      </c>
      <c r="E9" s="122">
        <f>6*16</f>
        <v>96</v>
      </c>
      <c r="F9" s="122">
        <v>2017</v>
      </c>
    </row>
    <row r="10" spans="1:6">
      <c r="A10" s="122">
        <v>9</v>
      </c>
      <c r="B10" s="122">
        <v>45</v>
      </c>
      <c r="C10" s="122">
        <v>6</v>
      </c>
      <c r="D10" s="122" t="s">
        <v>247</v>
      </c>
      <c r="E10" s="122">
        <f>6*10</f>
        <v>60</v>
      </c>
      <c r="F10" s="122">
        <v>2017</v>
      </c>
    </row>
    <row r="11" spans="1:6">
      <c r="A11" s="122">
        <v>10</v>
      </c>
      <c r="B11" s="122">
        <v>47</v>
      </c>
      <c r="C11" s="122">
        <v>6</v>
      </c>
      <c r="D11" s="122" t="s">
        <v>247</v>
      </c>
      <c r="E11" s="122">
        <f>6*6</f>
        <v>36</v>
      </c>
      <c r="F11" s="122">
        <v>2017</v>
      </c>
    </row>
    <row r="12" spans="1:6">
      <c r="A12" s="122">
        <v>11</v>
      </c>
      <c r="B12" s="122">
        <v>48</v>
      </c>
      <c r="C12" s="122">
        <v>6</v>
      </c>
      <c r="D12" s="122" t="s">
        <v>247</v>
      </c>
      <c r="E12" s="122">
        <f>6*6</f>
        <v>36</v>
      </c>
      <c r="F12" s="122">
        <v>2017</v>
      </c>
    </row>
    <row r="13" spans="1:6">
      <c r="A13" s="122">
        <v>12</v>
      </c>
      <c r="B13" s="122">
        <v>49</v>
      </c>
      <c r="C13" s="122">
        <v>6</v>
      </c>
      <c r="D13" s="122" t="s">
        <v>247</v>
      </c>
      <c r="E13" s="122">
        <f>5*4</f>
        <v>20</v>
      </c>
      <c r="F13" s="122">
        <v>2017</v>
      </c>
    </row>
    <row r="14" spans="1:6">
      <c r="A14" s="122">
        <v>13</v>
      </c>
      <c r="B14" s="122">
        <v>50</v>
      </c>
      <c r="C14" s="122">
        <v>6</v>
      </c>
      <c r="D14" s="122" t="s">
        <v>247</v>
      </c>
      <c r="E14" s="122">
        <f>5*4</f>
        <v>20</v>
      </c>
      <c r="F14" s="122">
        <v>2017</v>
      </c>
    </row>
    <row r="15" spans="1:6">
      <c r="A15" s="122">
        <v>14</v>
      </c>
      <c r="B15" s="122">
        <v>51</v>
      </c>
      <c r="C15" s="122">
        <v>6</v>
      </c>
      <c r="D15" s="122" t="s">
        <v>247</v>
      </c>
      <c r="E15" s="122">
        <f>6*6</f>
        <v>36</v>
      </c>
      <c r="F15" s="122">
        <v>2017</v>
      </c>
    </row>
    <row r="16" spans="1:6">
      <c r="A16" s="122">
        <v>15</v>
      </c>
      <c r="B16" s="122">
        <v>52</v>
      </c>
      <c r="C16" s="122">
        <v>6</v>
      </c>
      <c r="D16" s="122" t="s">
        <v>247</v>
      </c>
      <c r="E16" s="122">
        <f>6*8</f>
        <v>48</v>
      </c>
      <c r="F16" s="122">
        <v>2017</v>
      </c>
    </row>
    <row r="17" spans="1:6">
      <c r="A17" s="122">
        <v>16</v>
      </c>
      <c r="B17" s="122">
        <v>53</v>
      </c>
      <c r="C17" s="122">
        <v>6</v>
      </c>
      <c r="D17" s="122" t="s">
        <v>247</v>
      </c>
      <c r="E17" s="122">
        <f>5*6</f>
        <v>30</v>
      </c>
      <c r="F17" s="122">
        <v>2017</v>
      </c>
    </row>
    <row r="18" spans="1:6">
      <c r="A18" s="122">
        <v>17</v>
      </c>
      <c r="B18" s="122">
        <v>54</v>
      </c>
      <c r="C18" s="122">
        <v>6</v>
      </c>
      <c r="D18" s="122" t="s">
        <v>247</v>
      </c>
      <c r="E18" s="122">
        <f>6*20</f>
        <v>120</v>
      </c>
      <c r="F18" s="122">
        <v>2017</v>
      </c>
    </row>
    <row r="19" spans="1:6">
      <c r="A19" s="122">
        <v>18</v>
      </c>
      <c r="B19" s="122">
        <v>55</v>
      </c>
      <c r="C19" s="122">
        <v>6</v>
      </c>
      <c r="D19" s="122" t="s">
        <v>247</v>
      </c>
      <c r="E19" s="122">
        <f>6*10</f>
        <v>60</v>
      </c>
      <c r="F19" s="122">
        <v>2013</v>
      </c>
    </row>
    <row r="20" spans="1:6">
      <c r="A20" s="122">
        <v>19</v>
      </c>
      <c r="B20" s="122">
        <v>58</v>
      </c>
      <c r="C20" s="122">
        <v>6</v>
      </c>
      <c r="D20" s="122" t="s">
        <v>247</v>
      </c>
      <c r="E20" s="122">
        <f>6*16</f>
        <v>96</v>
      </c>
      <c r="F20" s="122">
        <v>2013</v>
      </c>
    </row>
    <row r="21" spans="1:6">
      <c r="A21" s="122">
        <v>20</v>
      </c>
      <c r="B21" s="122">
        <v>59</v>
      </c>
      <c r="C21" s="122">
        <v>6</v>
      </c>
      <c r="D21" s="122" t="s">
        <v>247</v>
      </c>
      <c r="E21" s="122">
        <f>6*16</f>
        <v>96</v>
      </c>
      <c r="F21" s="122">
        <v>2013</v>
      </c>
    </row>
    <row r="22" spans="1:6">
      <c r="A22" s="192" t="s">
        <v>248</v>
      </c>
      <c r="B22" s="192"/>
      <c r="C22" s="122"/>
      <c r="D22" s="122"/>
      <c r="E22" s="122">
        <f>SUM(E2:E21)</f>
        <v>1186</v>
      </c>
      <c r="F22" s="122"/>
    </row>
    <row r="26" spans="1:6" ht="18">
      <c r="A26" s="271"/>
      <c r="B26" s="271"/>
      <c r="C26" s="272"/>
      <c r="D26" s="273"/>
    </row>
    <row r="27" spans="1:6" ht="18.75">
      <c r="A27" s="274" t="s">
        <v>306</v>
      </c>
      <c r="B27" s="274"/>
      <c r="C27" s="274"/>
      <c r="D27" s="274"/>
    </row>
    <row r="28" spans="1:6" ht="18.75">
      <c r="A28" s="274" t="s">
        <v>307</v>
      </c>
      <c r="B28" s="274"/>
      <c r="C28" s="274" t="s">
        <v>308</v>
      </c>
      <c r="D28" s="274"/>
    </row>
    <row r="29" spans="1:6" ht="18.75">
      <c r="A29" s="274" t="s">
        <v>314</v>
      </c>
      <c r="B29" s="274"/>
      <c r="C29" s="275"/>
      <c r="D29" s="275"/>
    </row>
    <row r="30" spans="1:6">
      <c r="C30" t="s">
        <v>315</v>
      </c>
    </row>
  </sheetData>
  <mergeCells count="6">
    <mergeCell ref="A22:B22"/>
    <mergeCell ref="A27:D27"/>
    <mergeCell ref="A28:B28"/>
    <mergeCell ref="C28:D28"/>
    <mergeCell ref="A29:B29"/>
    <mergeCell ref="C29:D29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zoomScale="120" zoomScaleNormal="120" workbookViewId="0">
      <selection activeCell="E4" sqref="E4"/>
    </sheetView>
  </sheetViews>
  <sheetFormatPr defaultColWidth="11" defaultRowHeight="13.5"/>
  <cols>
    <col min="3" max="3" width="15" customWidth="1"/>
    <col min="5" max="5" width="16.375" customWidth="1"/>
    <col min="7" max="7" width="11.875" bestFit="1" customWidth="1"/>
    <col min="8" max="8" width="14.375" bestFit="1" customWidth="1"/>
  </cols>
  <sheetData>
    <row r="2" spans="1:11" ht="40.5">
      <c r="A2" s="192"/>
      <c r="B2" s="192"/>
      <c r="C2" s="94" t="s">
        <v>192</v>
      </c>
      <c r="D2" s="94" t="s">
        <v>191</v>
      </c>
      <c r="E2" s="92" t="s">
        <v>188</v>
      </c>
      <c r="F2" s="92" t="s">
        <v>189</v>
      </c>
      <c r="G2" s="92" t="s">
        <v>190</v>
      </c>
      <c r="H2" s="92" t="s">
        <v>194</v>
      </c>
      <c r="I2" s="96" t="s">
        <v>197</v>
      </c>
      <c r="J2" s="97"/>
    </row>
    <row r="3" spans="1:11" ht="15">
      <c r="A3" s="193" t="s">
        <v>179</v>
      </c>
      <c r="B3" s="193"/>
      <c r="C3" s="84" t="e">
        <f>#REF!</f>
        <v>#REF!</v>
      </c>
      <c r="D3" s="84">
        <f>汇总表!D21</f>
        <v>112716.69</v>
      </c>
      <c r="E3" s="93" t="e">
        <f>ROUND(D3/C3,2)</f>
        <v>#REF!</v>
      </c>
      <c r="F3" s="84" t="s">
        <v>1</v>
      </c>
      <c r="G3" s="84" t="s">
        <v>1</v>
      </c>
      <c r="H3" s="84" t="s">
        <v>1</v>
      </c>
      <c r="I3" s="98" t="s">
        <v>198</v>
      </c>
    </row>
    <row r="4" spans="1:11" ht="15">
      <c r="A4" s="192" t="s">
        <v>180</v>
      </c>
      <c r="B4" s="85" t="s">
        <v>62</v>
      </c>
      <c r="C4" s="86">
        <v>1</v>
      </c>
      <c r="D4" s="86">
        <v>1</v>
      </c>
      <c r="E4" s="86" t="e">
        <f>C4*$E$3</f>
        <v>#REF!</v>
      </c>
      <c r="F4" s="86" t="e">
        <f>D4-E4</f>
        <v>#REF!</v>
      </c>
      <c r="G4" s="86">
        <v>168120</v>
      </c>
      <c r="H4" s="86" t="e">
        <f>F4*G4</f>
        <v>#REF!</v>
      </c>
      <c r="I4">
        <v>1</v>
      </c>
      <c r="J4">
        <f>I4*G4</f>
        <v>168120</v>
      </c>
    </row>
    <row r="5" spans="1:11" ht="15">
      <c r="A5" s="192"/>
      <c r="B5" s="87" t="s">
        <v>63</v>
      </c>
      <c r="C5" s="88">
        <v>1</v>
      </c>
      <c r="D5" s="88">
        <v>1</v>
      </c>
      <c r="E5" s="86" t="e">
        <f t="shared" ref="E5:E21" si="0">C5*$E$3</f>
        <v>#REF!</v>
      </c>
      <c r="F5" s="86" t="e">
        <f t="shared" ref="F5:F21" si="1">D5-E5</f>
        <v>#REF!</v>
      </c>
      <c r="G5" s="86">
        <v>151308</v>
      </c>
      <c r="H5" s="86" t="e">
        <f t="shared" ref="H5:H21" si="2">F5*G5</f>
        <v>#REF!</v>
      </c>
      <c r="I5">
        <v>1</v>
      </c>
      <c r="J5">
        <f t="shared" ref="J5:J21" si="3">I5*G5</f>
        <v>151308</v>
      </c>
    </row>
    <row r="6" spans="1:11" ht="15">
      <c r="A6" s="192"/>
      <c r="B6" s="85" t="s">
        <v>64</v>
      </c>
      <c r="C6" s="86">
        <v>1</v>
      </c>
      <c r="D6" s="86">
        <v>1</v>
      </c>
      <c r="E6" s="86" t="e">
        <f t="shared" si="0"/>
        <v>#REF!</v>
      </c>
      <c r="F6" s="86" t="e">
        <f t="shared" si="1"/>
        <v>#REF!</v>
      </c>
      <c r="G6" s="86">
        <v>69308.652000000002</v>
      </c>
      <c r="H6" s="86" t="e">
        <f t="shared" si="2"/>
        <v>#REF!</v>
      </c>
      <c r="I6">
        <v>1</v>
      </c>
      <c r="J6">
        <f t="shared" si="3"/>
        <v>69308.652000000002</v>
      </c>
    </row>
    <row r="7" spans="1:11" ht="15">
      <c r="A7" s="192"/>
      <c r="B7" s="85" t="s">
        <v>65</v>
      </c>
      <c r="C7" s="86">
        <v>1</v>
      </c>
      <c r="D7" s="86">
        <v>1</v>
      </c>
      <c r="E7" s="86" t="e">
        <f t="shared" si="0"/>
        <v>#REF!</v>
      </c>
      <c r="F7" s="86" t="e">
        <f t="shared" si="1"/>
        <v>#REF!</v>
      </c>
      <c r="G7" s="86">
        <v>69308.652000000002</v>
      </c>
      <c r="H7" s="86" t="e">
        <f t="shared" si="2"/>
        <v>#REF!</v>
      </c>
      <c r="I7">
        <v>1</v>
      </c>
      <c r="J7">
        <f t="shared" si="3"/>
        <v>69308.652000000002</v>
      </c>
    </row>
    <row r="8" spans="1:11" ht="15">
      <c r="A8" s="192"/>
      <c r="B8" s="85" t="s">
        <v>67</v>
      </c>
      <c r="C8" s="86">
        <v>1</v>
      </c>
      <c r="D8" s="86">
        <v>1</v>
      </c>
      <c r="E8" s="86" t="e">
        <f t="shared" si="0"/>
        <v>#REF!</v>
      </c>
      <c r="F8" s="86" t="e">
        <f t="shared" si="1"/>
        <v>#REF!</v>
      </c>
      <c r="G8" s="86">
        <v>117684</v>
      </c>
      <c r="H8" s="86" t="e">
        <f t="shared" si="2"/>
        <v>#REF!</v>
      </c>
      <c r="I8">
        <v>1</v>
      </c>
      <c r="J8">
        <f t="shared" si="3"/>
        <v>117684</v>
      </c>
    </row>
    <row r="9" spans="1:11" ht="15">
      <c r="A9" s="192"/>
      <c r="B9" s="85" t="s">
        <v>68</v>
      </c>
      <c r="C9" s="86">
        <v>1</v>
      </c>
      <c r="D9" s="86">
        <v>0</v>
      </c>
      <c r="E9" s="86" t="e">
        <f t="shared" si="0"/>
        <v>#REF!</v>
      </c>
      <c r="F9" s="86" t="e">
        <f t="shared" si="1"/>
        <v>#REF!</v>
      </c>
      <c r="G9" s="86">
        <v>69308.652000000002</v>
      </c>
      <c r="H9" s="86" t="e">
        <f t="shared" si="2"/>
        <v>#REF!</v>
      </c>
      <c r="I9">
        <v>0</v>
      </c>
      <c r="J9">
        <f t="shared" si="3"/>
        <v>0</v>
      </c>
    </row>
    <row r="10" spans="1:11" ht="15">
      <c r="A10" s="192"/>
      <c r="B10" s="85" t="s">
        <v>69</v>
      </c>
      <c r="C10" s="88">
        <v>9</v>
      </c>
      <c r="D10" s="88">
        <v>2</v>
      </c>
      <c r="E10" s="86" t="e">
        <f t="shared" si="0"/>
        <v>#REF!</v>
      </c>
      <c r="F10" s="86" t="e">
        <f t="shared" si="1"/>
        <v>#REF!</v>
      </c>
      <c r="G10" s="86">
        <v>69308.652000000002</v>
      </c>
      <c r="H10" s="86" t="e">
        <f t="shared" si="2"/>
        <v>#REF!</v>
      </c>
      <c r="I10">
        <v>1</v>
      </c>
      <c r="J10">
        <f t="shared" si="3"/>
        <v>69308.652000000002</v>
      </c>
    </row>
    <row r="11" spans="1:11" ht="15">
      <c r="A11" s="192"/>
      <c r="B11" s="85" t="s">
        <v>70</v>
      </c>
      <c r="C11" s="86">
        <v>1</v>
      </c>
      <c r="D11" s="86">
        <v>0</v>
      </c>
      <c r="E11" s="86" t="e">
        <f t="shared" si="0"/>
        <v>#REF!</v>
      </c>
      <c r="F11" s="86" t="e">
        <f t="shared" si="1"/>
        <v>#REF!</v>
      </c>
      <c r="G11" s="86">
        <v>117684</v>
      </c>
      <c r="H11" s="86" t="e">
        <f t="shared" si="2"/>
        <v>#REF!</v>
      </c>
      <c r="I11">
        <v>0</v>
      </c>
      <c r="J11">
        <f t="shared" si="3"/>
        <v>0</v>
      </c>
    </row>
    <row r="12" spans="1:11" ht="15">
      <c r="A12" s="192"/>
      <c r="B12" s="85" t="s">
        <v>71</v>
      </c>
      <c r="C12" s="86">
        <v>1</v>
      </c>
      <c r="D12" s="86">
        <v>1</v>
      </c>
      <c r="E12" s="86" t="e">
        <f t="shared" si="0"/>
        <v>#REF!</v>
      </c>
      <c r="F12" s="86" t="e">
        <f t="shared" si="1"/>
        <v>#REF!</v>
      </c>
      <c r="G12" s="86">
        <v>117684</v>
      </c>
      <c r="H12" s="86" t="e">
        <f t="shared" si="2"/>
        <v>#REF!</v>
      </c>
      <c r="I12">
        <v>1</v>
      </c>
      <c r="J12">
        <f t="shared" si="3"/>
        <v>117684</v>
      </c>
    </row>
    <row r="13" spans="1:11" ht="15">
      <c r="A13" s="192"/>
      <c r="B13" s="85" t="s">
        <v>72</v>
      </c>
      <c r="C13" s="86">
        <v>1</v>
      </c>
      <c r="D13" s="86">
        <v>1</v>
      </c>
      <c r="E13" s="86" t="e">
        <f t="shared" si="0"/>
        <v>#REF!</v>
      </c>
      <c r="F13" s="86" t="e">
        <f t="shared" si="1"/>
        <v>#REF!</v>
      </c>
      <c r="G13" s="86">
        <v>117684</v>
      </c>
      <c r="H13" s="86" t="e">
        <f t="shared" si="2"/>
        <v>#REF!</v>
      </c>
      <c r="I13">
        <v>1</v>
      </c>
      <c r="J13">
        <f t="shared" si="3"/>
        <v>117684</v>
      </c>
    </row>
    <row r="14" spans="1:11" ht="15">
      <c r="A14" s="192" t="s">
        <v>181</v>
      </c>
      <c r="B14" s="86" t="s">
        <v>90</v>
      </c>
      <c r="C14" s="86">
        <v>9</v>
      </c>
      <c r="D14" s="84">
        <v>3</v>
      </c>
      <c r="E14" s="86" t="e">
        <f t="shared" si="0"/>
        <v>#REF!</v>
      </c>
      <c r="F14" s="86" t="e">
        <f t="shared" si="1"/>
        <v>#REF!</v>
      </c>
      <c r="G14" s="86">
        <f>K14/C14</f>
        <v>92539.872000000003</v>
      </c>
      <c r="H14" s="86" t="e">
        <f t="shared" si="2"/>
        <v>#REF!</v>
      </c>
      <c r="I14">
        <v>2</v>
      </c>
      <c r="J14">
        <f t="shared" si="3"/>
        <v>185079.74400000001</v>
      </c>
      <c r="K14">
        <v>832858.848</v>
      </c>
    </row>
    <row r="15" spans="1:11" ht="15">
      <c r="A15" s="192"/>
      <c r="B15" s="86" t="s">
        <v>91</v>
      </c>
      <c r="C15" s="88">
        <v>18</v>
      </c>
      <c r="D15" s="84">
        <v>7</v>
      </c>
      <c r="E15" s="86" t="e">
        <f t="shared" si="0"/>
        <v>#REF!</v>
      </c>
      <c r="F15" s="86" t="e">
        <f t="shared" si="1"/>
        <v>#REF!</v>
      </c>
      <c r="G15" s="86">
        <f>K15/C15</f>
        <v>77036.652000000002</v>
      </c>
      <c r="H15" s="86" t="e">
        <f t="shared" si="2"/>
        <v>#REF!</v>
      </c>
      <c r="I15">
        <v>4</v>
      </c>
      <c r="J15">
        <f t="shared" si="3"/>
        <v>308146.60800000001</v>
      </c>
      <c r="K15">
        <v>1386659.736</v>
      </c>
    </row>
    <row r="16" spans="1:11" ht="15">
      <c r="A16" s="192" t="s">
        <v>182</v>
      </c>
      <c r="B16" s="89" t="s">
        <v>137</v>
      </c>
      <c r="C16" s="86">
        <v>5</v>
      </c>
      <c r="D16" s="84">
        <v>2</v>
      </c>
      <c r="E16" s="86" t="e">
        <f t="shared" si="0"/>
        <v>#REF!</v>
      </c>
      <c r="F16" s="86" t="e">
        <f t="shared" si="1"/>
        <v>#REF!</v>
      </c>
      <c r="G16" s="86">
        <f t="shared" ref="G16:G21" si="4">K16/C16</f>
        <v>63548.652000000002</v>
      </c>
      <c r="H16" s="86" t="e">
        <f t="shared" si="2"/>
        <v>#REF!</v>
      </c>
      <c r="I16">
        <v>1</v>
      </c>
      <c r="J16">
        <f t="shared" si="3"/>
        <v>63548.652000000002</v>
      </c>
      <c r="K16">
        <v>317743.26</v>
      </c>
    </row>
    <row r="17" spans="1:11" ht="15">
      <c r="A17" s="192"/>
      <c r="B17" s="86" t="s">
        <v>138</v>
      </c>
      <c r="C17" s="86">
        <v>63</v>
      </c>
      <c r="D17" s="84">
        <v>25</v>
      </c>
      <c r="E17" s="86" t="e">
        <f t="shared" si="0"/>
        <v>#REF!</v>
      </c>
      <c r="F17" s="86" t="e">
        <f t="shared" si="1"/>
        <v>#REF!</v>
      </c>
      <c r="G17" s="86">
        <f t="shared" si="4"/>
        <v>54368.460000000006</v>
      </c>
      <c r="H17" s="86" t="e">
        <f t="shared" si="2"/>
        <v>#REF!</v>
      </c>
      <c r="I17">
        <v>13</v>
      </c>
      <c r="J17">
        <f t="shared" si="3"/>
        <v>706789.9800000001</v>
      </c>
      <c r="K17">
        <v>3425212.9800000004</v>
      </c>
    </row>
    <row r="18" spans="1:11" ht="15">
      <c r="A18" s="192" t="s">
        <v>183</v>
      </c>
      <c r="B18" s="90" t="s">
        <v>184</v>
      </c>
      <c r="C18" s="86">
        <v>1</v>
      </c>
      <c r="D18" s="84">
        <v>1</v>
      </c>
      <c r="E18" s="86" t="e">
        <f t="shared" si="0"/>
        <v>#REF!</v>
      </c>
      <c r="F18" s="86" t="e">
        <f t="shared" si="1"/>
        <v>#REF!</v>
      </c>
      <c r="G18" s="86">
        <f t="shared" si="4"/>
        <v>60745.452000000005</v>
      </c>
      <c r="H18" s="86" t="e">
        <f t="shared" si="2"/>
        <v>#REF!</v>
      </c>
      <c r="I18">
        <v>1</v>
      </c>
      <c r="J18">
        <f t="shared" si="3"/>
        <v>60745.452000000005</v>
      </c>
      <c r="K18">
        <v>60745.452000000005</v>
      </c>
    </row>
    <row r="19" spans="1:11" ht="15">
      <c r="A19" s="192"/>
      <c r="B19" s="90" t="s">
        <v>185</v>
      </c>
      <c r="C19" s="86">
        <v>6</v>
      </c>
      <c r="D19" s="84">
        <v>2</v>
      </c>
      <c r="E19" s="86" t="e">
        <f t="shared" si="0"/>
        <v>#REF!</v>
      </c>
      <c r="F19" s="86" t="e">
        <f t="shared" si="1"/>
        <v>#REF!</v>
      </c>
      <c r="G19" s="86">
        <f t="shared" si="4"/>
        <v>57008.46</v>
      </c>
      <c r="H19" s="86" t="e">
        <f t="shared" si="2"/>
        <v>#REF!</v>
      </c>
      <c r="I19">
        <v>1</v>
      </c>
      <c r="J19">
        <f t="shared" si="3"/>
        <v>57008.46</v>
      </c>
      <c r="K19">
        <v>342050.76</v>
      </c>
    </row>
    <row r="20" spans="1:11" ht="15">
      <c r="A20" s="192"/>
      <c r="B20" s="91" t="s">
        <v>186</v>
      </c>
      <c r="C20" s="86">
        <v>8</v>
      </c>
      <c r="D20" s="84">
        <v>8</v>
      </c>
      <c r="E20" s="86" t="e">
        <f t="shared" si="0"/>
        <v>#REF!</v>
      </c>
      <c r="F20" s="86" t="e">
        <f t="shared" si="1"/>
        <v>#REF!</v>
      </c>
      <c r="G20" s="86">
        <f t="shared" si="4"/>
        <v>57008.460000000006</v>
      </c>
      <c r="H20" s="86" t="e">
        <f t="shared" si="2"/>
        <v>#REF!</v>
      </c>
      <c r="I20">
        <v>7</v>
      </c>
      <c r="J20">
        <f t="shared" si="3"/>
        <v>399059.22000000003</v>
      </c>
      <c r="K20">
        <v>456067.68000000005</v>
      </c>
    </row>
    <row r="21" spans="1:11" ht="15">
      <c r="A21" s="192"/>
      <c r="B21" s="90" t="s">
        <v>187</v>
      </c>
      <c r="C21" s="86">
        <v>45</v>
      </c>
      <c r="D21" s="84">
        <v>23</v>
      </c>
      <c r="E21" s="86" t="e">
        <f t="shared" si="0"/>
        <v>#REF!</v>
      </c>
      <c r="F21" s="86" t="e">
        <f t="shared" si="1"/>
        <v>#REF!</v>
      </c>
      <c r="G21" s="86">
        <f t="shared" si="4"/>
        <v>57008.460000000006</v>
      </c>
      <c r="H21" s="86" t="e">
        <f t="shared" si="2"/>
        <v>#REF!</v>
      </c>
      <c r="I21">
        <v>14</v>
      </c>
      <c r="J21">
        <f t="shared" si="3"/>
        <v>798118.44000000006</v>
      </c>
      <c r="K21">
        <v>2565380.7000000002</v>
      </c>
    </row>
    <row r="22" spans="1:11" ht="15">
      <c r="A22" s="192" t="s">
        <v>195</v>
      </c>
      <c r="B22" s="192"/>
      <c r="C22" s="84" t="s">
        <v>193</v>
      </c>
      <c r="D22" s="95">
        <v>6.3</v>
      </c>
      <c r="E22" s="84" t="s">
        <v>1</v>
      </c>
      <c r="F22" s="84" t="e">
        <f>SUM(F4:F21)</f>
        <v>#REF!</v>
      </c>
      <c r="G22" s="84" t="s">
        <v>1</v>
      </c>
      <c r="H22" s="84" t="e">
        <f>SUM(H4:H21)</f>
        <v>#REF!</v>
      </c>
      <c r="J22">
        <f>SUM(J4:J21)</f>
        <v>3458902.5120000001</v>
      </c>
    </row>
    <row r="23" spans="1:11" ht="15">
      <c r="A23" s="192" t="s">
        <v>196</v>
      </c>
      <c r="B23" s="192"/>
      <c r="C23" s="95" t="e">
        <f>3.2+H23</f>
        <v>#REF!</v>
      </c>
      <c r="D23" s="84" t="s">
        <v>1</v>
      </c>
      <c r="E23" s="84" t="s">
        <v>1</v>
      </c>
      <c r="F23" s="84" t="s">
        <v>1</v>
      </c>
      <c r="G23" s="84" t="s">
        <v>1</v>
      </c>
      <c r="H23" s="95" t="e">
        <f>ROUND(H22/D3/12,1)</f>
        <v>#REF!</v>
      </c>
      <c r="J23" s="95">
        <f>ROUND(J22/D3/12,1)</f>
        <v>2.6</v>
      </c>
    </row>
  </sheetData>
  <mergeCells count="8">
    <mergeCell ref="A2:B2"/>
    <mergeCell ref="A22:B22"/>
    <mergeCell ref="A23:B23"/>
    <mergeCell ref="A3:B3"/>
    <mergeCell ref="A4:A13"/>
    <mergeCell ref="A14:A15"/>
    <mergeCell ref="A16:A17"/>
    <mergeCell ref="A18:A2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topLeftCell="E1" workbookViewId="0">
      <selection activeCell="C14" sqref="C14"/>
    </sheetView>
  </sheetViews>
  <sheetFormatPr defaultColWidth="9" defaultRowHeight="14.25"/>
  <cols>
    <col min="1" max="8" width="17.125" style="2" customWidth="1"/>
    <col min="9" max="9" width="21.875" style="2" customWidth="1"/>
    <col min="10" max="16384" width="9" style="2"/>
  </cols>
  <sheetData>
    <row r="1" spans="1:9" ht="19.5" thickBot="1">
      <c r="A1" s="194" t="s">
        <v>75</v>
      </c>
      <c r="B1" s="194"/>
      <c r="C1" s="194"/>
      <c r="D1" s="194"/>
      <c r="E1" s="194"/>
      <c r="F1" s="194"/>
      <c r="G1" s="194"/>
      <c r="H1" s="194"/>
      <c r="I1" s="194"/>
    </row>
    <row r="2" spans="1:9" ht="30" thickBot="1">
      <c r="A2" s="20" t="s">
        <v>54</v>
      </c>
      <c r="B2" s="21" t="s">
        <v>55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76</v>
      </c>
      <c r="H2" s="22" t="s">
        <v>60</v>
      </c>
      <c r="I2" s="23" t="s">
        <v>61</v>
      </c>
    </row>
    <row r="3" spans="1:9" ht="15.75" thickBot="1">
      <c r="A3" s="200" t="s">
        <v>272</v>
      </c>
      <c r="B3" s="24" t="s">
        <v>62</v>
      </c>
      <c r="C3" s="3">
        <v>1</v>
      </c>
      <c r="D3" s="25">
        <v>8000</v>
      </c>
      <c r="E3" s="25">
        <f>D3*C3</f>
        <v>8000</v>
      </c>
      <c r="F3" s="25">
        <f>E3*12</f>
        <v>96000</v>
      </c>
      <c r="G3" s="25">
        <f>F3*$I$3</f>
        <v>38496</v>
      </c>
      <c r="H3" s="25">
        <f>F3+G3</f>
        <v>134496</v>
      </c>
      <c r="I3" s="34">
        <v>0.40100000000000002</v>
      </c>
    </row>
    <row r="4" spans="1:9" ht="15.75" thickBot="1">
      <c r="A4" s="201"/>
      <c r="B4" s="24" t="s">
        <v>273</v>
      </c>
      <c r="C4" s="126">
        <v>1</v>
      </c>
      <c r="D4" s="25">
        <v>3800</v>
      </c>
      <c r="E4" s="25">
        <f t="shared" ref="E4" si="0">D4*C4</f>
        <v>3800</v>
      </c>
      <c r="F4" s="25">
        <f t="shared" ref="F4" si="1">E4*12</f>
        <v>45600</v>
      </c>
      <c r="G4" s="25">
        <f>ROUND((D4*($B$19+$C$19+$G$19)+$D$18*$D$19+$E$18*($E$19+$F$19))*C4*12,0)</f>
        <v>20362</v>
      </c>
      <c r="H4" s="25">
        <f t="shared" ref="H4" si="2">F4+G4</f>
        <v>65962</v>
      </c>
      <c r="I4" s="34"/>
    </row>
    <row r="5" spans="1:9" ht="15.75" thickBot="1">
      <c r="A5" s="195" t="s">
        <v>66</v>
      </c>
      <c r="B5" s="24" t="s">
        <v>67</v>
      </c>
      <c r="C5" s="3">
        <v>1</v>
      </c>
      <c r="D5" s="25">
        <v>5500</v>
      </c>
      <c r="E5" s="25">
        <f t="shared" ref="E5:E9" si="3">D5*C5</f>
        <v>5500</v>
      </c>
      <c r="F5" s="25">
        <f t="shared" ref="F5:F9" si="4">E5*12</f>
        <v>66000</v>
      </c>
      <c r="G5" s="25">
        <f t="shared" ref="G5:G9" si="5">F5*$I$3</f>
        <v>26466</v>
      </c>
      <c r="H5" s="25">
        <f t="shared" ref="H5:H9" si="6">F5+G5</f>
        <v>92466</v>
      </c>
      <c r="I5" s="26"/>
    </row>
    <row r="6" spans="1:9" ht="15.75" thickBot="1">
      <c r="A6" s="196"/>
      <c r="B6" s="24" t="s">
        <v>69</v>
      </c>
      <c r="C6" s="27">
        <v>1</v>
      </c>
      <c r="D6" s="25">
        <f>D4</f>
        <v>3800</v>
      </c>
      <c r="E6" s="25">
        <f t="shared" si="3"/>
        <v>3800</v>
      </c>
      <c r="F6" s="25">
        <f t="shared" si="4"/>
        <v>45600</v>
      </c>
      <c r="G6" s="25">
        <f>ROUND((D6*($B$19+$C$19+$G$19)+$D$18*$D$19+$E$18*($E$19+$F$19))*C6*12,0)</f>
        <v>20362</v>
      </c>
      <c r="H6" s="25">
        <f t="shared" si="6"/>
        <v>65962</v>
      </c>
      <c r="I6" s="10"/>
    </row>
    <row r="7" spans="1:9" ht="15.75" thickBot="1">
      <c r="A7" s="99" t="s">
        <v>275</v>
      </c>
      <c r="B7" s="138" t="s">
        <v>274</v>
      </c>
      <c r="C7" s="3">
        <v>1</v>
      </c>
      <c r="D7" s="25">
        <f>D5</f>
        <v>5500</v>
      </c>
      <c r="E7" s="25">
        <f t="shared" si="3"/>
        <v>5500</v>
      </c>
      <c r="F7" s="25">
        <f t="shared" si="4"/>
        <v>66000</v>
      </c>
      <c r="G7" s="25">
        <f t="shared" si="5"/>
        <v>26466</v>
      </c>
      <c r="H7" s="25">
        <f t="shared" si="6"/>
        <v>92466</v>
      </c>
      <c r="I7" s="26"/>
    </row>
    <row r="8" spans="1:9" ht="15.75" thickBot="1">
      <c r="A8" s="125" t="s">
        <v>181</v>
      </c>
      <c r="B8" s="24" t="s">
        <v>71</v>
      </c>
      <c r="C8" s="126">
        <v>1</v>
      </c>
      <c r="D8" s="25">
        <f>D7</f>
        <v>5500</v>
      </c>
      <c r="E8" s="25">
        <f t="shared" ref="E8" si="7">D8*C8</f>
        <v>5500</v>
      </c>
      <c r="F8" s="25">
        <f t="shared" ref="F8" si="8">E8*12</f>
        <v>66000</v>
      </c>
      <c r="G8" s="25">
        <f t="shared" ref="G8" si="9">F8*$I$3</f>
        <v>26466</v>
      </c>
      <c r="H8" s="25">
        <f t="shared" ref="H8" si="10">F8+G8</f>
        <v>92466</v>
      </c>
      <c r="I8" s="26"/>
    </row>
    <row r="9" spans="1:9" ht="15.75" thickBot="1">
      <c r="A9" s="28" t="s">
        <v>276</v>
      </c>
      <c r="B9" s="24" t="s">
        <v>72</v>
      </c>
      <c r="C9" s="3">
        <v>1</v>
      </c>
      <c r="D9" s="25">
        <f>D5</f>
        <v>5500</v>
      </c>
      <c r="E9" s="25">
        <f t="shared" si="3"/>
        <v>5500</v>
      </c>
      <c r="F9" s="25">
        <f t="shared" si="4"/>
        <v>66000</v>
      </c>
      <c r="G9" s="25">
        <f t="shared" si="5"/>
        <v>26466</v>
      </c>
      <c r="H9" s="25">
        <f t="shared" si="6"/>
        <v>92466</v>
      </c>
      <c r="I9" s="26"/>
    </row>
    <row r="10" spans="1:9" ht="16.5" thickBot="1">
      <c r="A10" s="29" t="s">
        <v>74</v>
      </c>
      <c r="B10" s="30"/>
      <c r="C10" s="31">
        <f>SUM(C3:C9)</f>
        <v>7</v>
      </c>
      <c r="D10" s="32"/>
      <c r="E10" s="32"/>
      <c r="F10" s="32"/>
      <c r="G10" s="32"/>
      <c r="H10" s="33">
        <f>SUM(H3:H9)</f>
        <v>636284</v>
      </c>
      <c r="I10" s="26"/>
    </row>
    <row r="11" spans="1:9" ht="19.5" customHeight="1" thickBot="1">
      <c r="A11" s="197" t="s">
        <v>235</v>
      </c>
      <c r="B11" s="198"/>
      <c r="C11" s="198"/>
      <c r="D11" s="198"/>
      <c r="E11" s="198"/>
      <c r="F11" s="198"/>
      <c r="G11" s="198"/>
      <c r="H11" s="199"/>
      <c r="I11" s="34">
        <v>0.40100000000000002</v>
      </c>
    </row>
    <row r="12" spans="1:9" ht="13.5" customHeight="1">
      <c r="A12" s="2" t="s">
        <v>234</v>
      </c>
    </row>
    <row r="15" spans="1:9">
      <c r="B15" s="35"/>
      <c r="C15" s="35"/>
      <c r="D15" s="35"/>
      <c r="E15" s="35"/>
    </row>
    <row r="16" spans="1:9">
      <c r="A16" s="35" t="s">
        <v>78</v>
      </c>
      <c r="B16" s="35" t="s">
        <v>79</v>
      </c>
      <c r="C16" s="35" t="s">
        <v>80</v>
      </c>
      <c r="D16" s="35" t="s">
        <v>81</v>
      </c>
      <c r="E16" s="35" t="s">
        <v>82</v>
      </c>
      <c r="F16" s="35" t="s">
        <v>83</v>
      </c>
      <c r="G16" s="35" t="s">
        <v>84</v>
      </c>
    </row>
    <row r="17" spans="1:7" hidden="1">
      <c r="A17" s="35">
        <v>2020</v>
      </c>
      <c r="B17" s="35">
        <v>3613</v>
      </c>
      <c r="C17" s="35">
        <v>3613</v>
      </c>
      <c r="D17" s="35">
        <v>4713</v>
      </c>
      <c r="E17" s="35">
        <v>5557</v>
      </c>
      <c r="F17" s="35">
        <f>E17</f>
        <v>5557</v>
      </c>
      <c r="G17" s="35"/>
    </row>
    <row r="18" spans="1:7">
      <c r="A18" s="121">
        <v>2021</v>
      </c>
      <c r="B18" s="121">
        <v>3640</v>
      </c>
      <c r="C18" s="121">
        <f>B18</f>
        <v>3640</v>
      </c>
      <c r="D18" s="121">
        <v>4713</v>
      </c>
      <c r="E18" s="121">
        <v>5360</v>
      </c>
      <c r="F18" s="121">
        <f>E18</f>
        <v>5360</v>
      </c>
    </row>
    <row r="19" spans="1:7">
      <c r="A19" s="120" t="s">
        <v>236</v>
      </c>
      <c r="B19" s="37">
        <v>0.16</v>
      </c>
      <c r="C19" s="38">
        <v>8.0000000000000002E-3</v>
      </c>
      <c r="D19" s="38">
        <v>5.0000000000000001E-3</v>
      </c>
      <c r="E19" s="38">
        <v>8.0000000000000002E-3</v>
      </c>
      <c r="F19" s="37">
        <v>0.1</v>
      </c>
      <c r="G19" s="38">
        <v>0.12</v>
      </c>
    </row>
    <row r="20" spans="1:7">
      <c r="A20" s="39" t="s">
        <v>87</v>
      </c>
      <c r="B20" s="40">
        <v>0.2</v>
      </c>
      <c r="C20" s="41">
        <v>0.01</v>
      </c>
      <c r="D20" s="39" t="s">
        <v>2</v>
      </c>
      <c r="E20" s="41">
        <v>8.0000000000000002E-3</v>
      </c>
      <c r="F20" s="40">
        <v>0.1</v>
      </c>
      <c r="G20" s="42"/>
    </row>
  </sheetData>
  <mergeCells count="4">
    <mergeCell ref="A1:I1"/>
    <mergeCell ref="A5:A6"/>
    <mergeCell ref="A11:H11"/>
    <mergeCell ref="A3:A4"/>
  </mergeCells>
  <phoneticPr fontId="6" type="noConversion"/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E28" sqref="E28"/>
    </sheetView>
  </sheetViews>
  <sheetFormatPr defaultColWidth="9" defaultRowHeight="14.25"/>
  <cols>
    <col min="1" max="1" width="9" style="2"/>
    <col min="2" max="2" width="12.875" style="2" customWidth="1"/>
    <col min="3" max="3" width="9" style="2"/>
    <col min="4" max="4" width="10" style="2" bestFit="1" customWidth="1"/>
    <col min="5" max="5" width="15.375" style="2" customWidth="1"/>
    <col min="6" max="6" width="15.625" style="2" customWidth="1"/>
    <col min="7" max="7" width="13.5" style="2" customWidth="1"/>
    <col min="8" max="8" width="18.125" style="2" customWidth="1"/>
    <col min="9" max="9" width="26.125" style="2" customWidth="1"/>
    <col min="10" max="16384" width="9" style="2"/>
  </cols>
  <sheetData>
    <row r="1" spans="1:9" ht="18.75" thickBot="1">
      <c r="A1" s="202" t="s">
        <v>92</v>
      </c>
      <c r="B1" s="202"/>
      <c r="C1" s="202"/>
      <c r="D1" s="202"/>
      <c r="E1" s="202"/>
      <c r="F1" s="202"/>
      <c r="G1" s="202"/>
      <c r="H1" s="202"/>
      <c r="I1" s="202"/>
    </row>
    <row r="2" spans="1:9" ht="30" thickBot="1">
      <c r="A2" s="43" t="s">
        <v>88</v>
      </c>
      <c r="B2" s="22" t="s">
        <v>89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73</v>
      </c>
      <c r="H2" s="22" t="s">
        <v>60</v>
      </c>
      <c r="I2" s="23" t="s">
        <v>61</v>
      </c>
    </row>
    <row r="3" spans="1:9" ht="15.75" thickBot="1">
      <c r="A3" s="206" t="s">
        <v>289</v>
      </c>
      <c r="B3" s="140" t="s">
        <v>277</v>
      </c>
      <c r="C3" s="141">
        <v>2</v>
      </c>
      <c r="D3" s="25">
        <v>4000</v>
      </c>
      <c r="E3" s="25">
        <f>C3*D3</f>
        <v>8000</v>
      </c>
      <c r="F3" s="25">
        <f>E3*12</f>
        <v>96000</v>
      </c>
      <c r="G3" s="25">
        <f>ROUND((D3*(B14+C14+G14)+D13*D14+E13*(E14+F14))*C3*12,0)</f>
        <v>42107</v>
      </c>
      <c r="H3" s="25">
        <f>F3+G3</f>
        <v>138107</v>
      </c>
      <c r="I3" s="139"/>
    </row>
    <row r="4" spans="1:9" ht="15.75" thickBot="1">
      <c r="A4" s="207"/>
      <c r="B4" s="116" t="s">
        <v>228</v>
      </c>
      <c r="C4" s="142">
        <v>4</v>
      </c>
      <c r="D4" s="25">
        <v>3500</v>
      </c>
      <c r="E4" s="25">
        <f>C4*D4</f>
        <v>14000</v>
      </c>
      <c r="F4" s="25">
        <f>E4*12</f>
        <v>168000</v>
      </c>
      <c r="G4" s="25">
        <f>ROUND((B13*(B14+C14)+D13*D14+E13*(E14+F14)+D4*G14)*C4*12,0)</f>
        <v>78430</v>
      </c>
      <c r="H4" s="25">
        <f>F4+G4</f>
        <v>246430</v>
      </c>
      <c r="I4" s="10"/>
    </row>
    <row r="5" spans="1:9" ht="16.5" thickBot="1">
      <c r="A5" s="203" t="s">
        <v>74</v>
      </c>
      <c r="B5" s="204"/>
      <c r="C5" s="31">
        <f>SUM(C3:C4)</f>
        <v>6</v>
      </c>
      <c r="D5" s="31"/>
      <c r="E5" s="31"/>
      <c r="F5" s="31"/>
      <c r="G5" s="31"/>
      <c r="H5" s="46">
        <f>SUM(H3:H4)</f>
        <v>384537</v>
      </c>
      <c r="I5" s="26"/>
    </row>
    <row r="6" spans="1:9" ht="28.5" customHeight="1" thickBot="1">
      <c r="A6" s="171" t="s">
        <v>238</v>
      </c>
      <c r="B6" s="205"/>
      <c r="C6" s="205"/>
      <c r="D6" s="205"/>
      <c r="E6" s="205"/>
      <c r="F6" s="205"/>
      <c r="G6" s="205"/>
      <c r="H6" s="172"/>
      <c r="I6" s="34">
        <v>0.40100000000000002</v>
      </c>
    </row>
    <row r="8" spans="1:9">
      <c r="G8" s="47"/>
    </row>
    <row r="11" spans="1:9">
      <c r="A11" s="35" t="s">
        <v>78</v>
      </c>
      <c r="B11" s="35" t="s">
        <v>79</v>
      </c>
      <c r="C11" s="35" t="s">
        <v>80</v>
      </c>
      <c r="D11" s="35" t="s">
        <v>81</v>
      </c>
      <c r="E11" s="35" t="s">
        <v>82</v>
      </c>
      <c r="F11" s="35" t="s">
        <v>83</v>
      </c>
      <c r="G11" s="35" t="s">
        <v>84</v>
      </c>
    </row>
    <row r="12" spans="1:9">
      <c r="A12" s="35">
        <v>2020</v>
      </c>
      <c r="B12" s="35">
        <v>3613</v>
      </c>
      <c r="C12" s="35">
        <v>3613</v>
      </c>
      <c r="D12" s="35">
        <v>4713</v>
      </c>
      <c r="E12" s="35">
        <v>5557</v>
      </c>
      <c r="F12" s="35">
        <f>E12</f>
        <v>5557</v>
      </c>
      <c r="G12" s="35"/>
    </row>
    <row r="13" spans="1:9">
      <c r="A13" s="121">
        <v>2021</v>
      </c>
      <c r="B13" s="121">
        <v>3640</v>
      </c>
      <c r="C13" s="121">
        <f>B13</f>
        <v>3640</v>
      </c>
      <c r="D13" s="121">
        <v>4713</v>
      </c>
      <c r="E13" s="121">
        <v>5360</v>
      </c>
      <c r="F13" s="121">
        <f>E13</f>
        <v>5360</v>
      </c>
    </row>
    <row r="14" spans="1:9">
      <c r="A14" s="120" t="s">
        <v>236</v>
      </c>
      <c r="B14" s="37">
        <v>0.16</v>
      </c>
      <c r="C14" s="38">
        <v>8.0000000000000002E-3</v>
      </c>
      <c r="D14" s="38">
        <v>5.0000000000000001E-3</v>
      </c>
      <c r="E14" s="38">
        <v>8.0000000000000002E-3</v>
      </c>
      <c r="F14" s="37">
        <v>0.1</v>
      </c>
      <c r="G14" s="38">
        <v>0.12</v>
      </c>
    </row>
    <row r="15" spans="1:9">
      <c r="A15" s="39" t="s">
        <v>87</v>
      </c>
      <c r="B15" s="40">
        <v>0.2</v>
      </c>
      <c r="C15" s="41">
        <v>0.01</v>
      </c>
      <c r="D15" s="39" t="s">
        <v>2</v>
      </c>
      <c r="E15" s="41">
        <v>8.0000000000000002E-3</v>
      </c>
      <c r="F15" s="40">
        <v>0.1</v>
      </c>
      <c r="G15" s="42"/>
    </row>
  </sheetData>
  <mergeCells count="4">
    <mergeCell ref="A1:I1"/>
    <mergeCell ref="A5:B5"/>
    <mergeCell ref="A6:H6"/>
    <mergeCell ref="A3:A4"/>
  </mergeCells>
  <phoneticPr fontId="6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6"/>
  <sheetViews>
    <sheetView zoomScaleNormal="100" workbookViewId="0">
      <selection activeCell="D7" sqref="D7"/>
    </sheetView>
  </sheetViews>
  <sheetFormatPr defaultColWidth="8.875" defaultRowHeight="13.5"/>
  <cols>
    <col min="1" max="5" width="13.375" customWidth="1"/>
    <col min="6" max="6" width="17.125" customWidth="1"/>
    <col min="7" max="7" width="20.375" customWidth="1"/>
  </cols>
  <sheetData>
    <row r="1" spans="1:7" ht="20.25" thickBot="1">
      <c r="A1" s="210" t="s">
        <v>117</v>
      </c>
      <c r="B1" s="210"/>
      <c r="C1" s="210"/>
      <c r="D1" s="210"/>
      <c r="E1" s="210"/>
      <c r="F1" s="210"/>
      <c r="G1" s="210"/>
    </row>
    <row r="2" spans="1:7" ht="15.75" thickBot="1">
      <c r="A2" s="211" t="s">
        <v>3</v>
      </c>
      <c r="B2" s="211" t="s">
        <v>93</v>
      </c>
      <c r="C2" s="214" t="s">
        <v>94</v>
      </c>
      <c r="D2" s="215"/>
      <c r="E2" s="216"/>
      <c r="F2" s="217" t="s">
        <v>95</v>
      </c>
      <c r="G2" s="211" t="s">
        <v>61</v>
      </c>
    </row>
    <row r="3" spans="1:7" ht="15.75" thickBot="1">
      <c r="A3" s="212"/>
      <c r="B3" s="212"/>
      <c r="C3" s="211" t="s">
        <v>96</v>
      </c>
      <c r="D3" s="214" t="s">
        <v>97</v>
      </c>
      <c r="E3" s="216"/>
      <c r="F3" s="218"/>
      <c r="G3" s="212"/>
    </row>
    <row r="4" spans="1:7" ht="15.75" thickBot="1">
      <c r="A4" s="213"/>
      <c r="B4" s="213"/>
      <c r="C4" s="213"/>
      <c r="D4" s="3" t="s">
        <v>98</v>
      </c>
      <c r="E4" s="3" t="s">
        <v>118</v>
      </c>
      <c r="F4" s="219"/>
      <c r="G4" s="213"/>
    </row>
    <row r="5" spans="1:7" ht="15.75" thickBot="1">
      <c r="A5" s="220" t="s">
        <v>119</v>
      </c>
      <c r="B5" s="48" t="s">
        <v>99</v>
      </c>
      <c r="C5" s="49">
        <v>12</v>
      </c>
      <c r="D5" s="49">
        <f>2+2</f>
        <v>4</v>
      </c>
      <c r="E5" s="49">
        <v>100</v>
      </c>
      <c r="F5" s="50">
        <f>C5*D5*E5</f>
        <v>4800</v>
      </c>
      <c r="G5" s="77"/>
    </row>
    <row r="6" spans="1:7" ht="15.75" thickBot="1">
      <c r="A6" s="221"/>
      <c r="B6" s="48" t="s">
        <v>278</v>
      </c>
      <c r="C6" s="49">
        <v>12</v>
      </c>
      <c r="D6" s="49">
        <f>2+2</f>
        <v>4</v>
      </c>
      <c r="E6" s="49">
        <v>100</v>
      </c>
      <c r="F6" s="50">
        <f t="shared" ref="F6:F9" si="0">C6*D6*E6</f>
        <v>4800</v>
      </c>
      <c r="G6" s="77"/>
    </row>
    <row r="7" spans="1:7" ht="15.75" thickBot="1">
      <c r="A7" s="222"/>
      <c r="B7" s="51" t="s">
        <v>100</v>
      </c>
      <c r="C7" s="49">
        <v>12</v>
      </c>
      <c r="D7" s="49">
        <f>69+64</f>
        <v>133</v>
      </c>
      <c r="E7" s="49">
        <v>5</v>
      </c>
      <c r="F7" s="50">
        <f t="shared" si="0"/>
        <v>7980</v>
      </c>
      <c r="G7" s="77"/>
    </row>
    <row r="8" spans="1:7" ht="15.75" thickBot="1">
      <c r="A8" s="220" t="s">
        <v>281</v>
      </c>
      <c r="B8" s="51" t="s">
        <v>282</v>
      </c>
      <c r="C8" s="49">
        <v>12</v>
      </c>
      <c r="D8" s="49">
        <f>15+13</f>
        <v>28</v>
      </c>
      <c r="E8" s="49">
        <v>500</v>
      </c>
      <c r="F8" s="50">
        <f t="shared" si="0"/>
        <v>168000</v>
      </c>
      <c r="G8" s="77"/>
    </row>
    <row r="9" spans="1:7" ht="16.5" customHeight="1" thickBot="1">
      <c r="A9" s="222"/>
      <c r="B9" s="51" t="s">
        <v>283</v>
      </c>
      <c r="C9" s="49">
        <v>1</v>
      </c>
      <c r="D9" s="49">
        <f>D8</f>
        <v>28</v>
      </c>
      <c r="E9" s="49">
        <v>600</v>
      </c>
      <c r="F9" s="50">
        <f t="shared" si="0"/>
        <v>16800</v>
      </c>
      <c r="G9" s="77"/>
    </row>
    <row r="10" spans="1:7" ht="16.5" customHeight="1" thickBot="1">
      <c r="A10" s="223" t="s">
        <v>285</v>
      </c>
      <c r="B10" s="51" t="s">
        <v>101</v>
      </c>
      <c r="C10" s="51">
        <v>12</v>
      </c>
      <c r="D10" s="51">
        <v>2</v>
      </c>
      <c r="E10" s="51">
        <v>500</v>
      </c>
      <c r="F10" s="50">
        <f t="shared" ref="F10" si="1">C10*D10*E10</f>
        <v>12000</v>
      </c>
      <c r="G10" s="52"/>
    </row>
    <row r="11" spans="1:7" ht="16.5" customHeight="1" thickBot="1">
      <c r="A11" s="224"/>
      <c r="B11" s="51" t="s">
        <v>284</v>
      </c>
      <c r="C11" s="51">
        <v>12</v>
      </c>
      <c r="D11" s="51">
        <v>2</v>
      </c>
      <c r="E11" s="158">
        <f>F11/C11/D11</f>
        <v>833.33333333333337</v>
      </c>
      <c r="F11" s="50">
        <f>10000*D11</f>
        <v>20000</v>
      </c>
      <c r="G11" s="52"/>
    </row>
    <row r="12" spans="1:7" ht="15" thickBot="1">
      <c r="A12" s="220" t="s">
        <v>102</v>
      </c>
      <c r="B12" s="51" t="s">
        <v>104</v>
      </c>
      <c r="C12" s="51">
        <v>12</v>
      </c>
      <c r="D12" s="51">
        <f>718+587</f>
        <v>1305</v>
      </c>
      <c r="E12" s="51">
        <v>20</v>
      </c>
      <c r="F12" s="50">
        <f>D12*E12</f>
        <v>26100</v>
      </c>
      <c r="G12" s="52"/>
    </row>
    <row r="13" spans="1:7" ht="15" thickBot="1">
      <c r="A13" s="221"/>
      <c r="B13" s="51" t="s">
        <v>286</v>
      </c>
      <c r="C13" s="51">
        <v>12</v>
      </c>
      <c r="D13" s="157">
        <v>2</v>
      </c>
      <c r="E13" s="51">
        <v>50</v>
      </c>
      <c r="F13" s="50">
        <f t="shared" ref="F13:F17" si="2">C13*D13*E13</f>
        <v>1200</v>
      </c>
      <c r="G13" s="143" t="s">
        <v>291</v>
      </c>
    </row>
    <row r="14" spans="1:7" ht="15" thickBot="1">
      <c r="A14" s="221"/>
      <c r="B14" s="51" t="s">
        <v>287</v>
      </c>
      <c r="C14" s="51">
        <v>12</v>
      </c>
      <c r="D14" s="145">
        <v>1</v>
      </c>
      <c r="E14" s="51">
        <v>100</v>
      </c>
      <c r="F14" s="50">
        <f t="shared" si="2"/>
        <v>1200</v>
      </c>
      <c r="G14" s="143" t="s">
        <v>291</v>
      </c>
    </row>
    <row r="15" spans="1:7" ht="15" thickBot="1">
      <c r="A15" s="221"/>
      <c r="B15" s="51" t="s">
        <v>103</v>
      </c>
      <c r="C15" s="51">
        <v>12</v>
      </c>
      <c r="D15" s="157">
        <v>2</v>
      </c>
      <c r="E15" s="51">
        <v>50</v>
      </c>
      <c r="F15" s="50">
        <f t="shared" si="2"/>
        <v>1200</v>
      </c>
      <c r="G15" s="143" t="s">
        <v>291</v>
      </c>
    </row>
    <row r="16" spans="1:7" ht="15" thickBot="1">
      <c r="A16" s="220" t="s">
        <v>105</v>
      </c>
      <c r="B16" s="51" t="s">
        <v>106</v>
      </c>
      <c r="C16" s="51">
        <v>12</v>
      </c>
      <c r="D16" s="51">
        <v>2</v>
      </c>
      <c r="E16" s="53">
        <v>500</v>
      </c>
      <c r="F16" s="50">
        <f t="shared" si="2"/>
        <v>12000</v>
      </c>
      <c r="G16" s="52"/>
    </row>
    <row r="17" spans="1:7" ht="15" thickBot="1">
      <c r="A17" s="222"/>
      <c r="B17" s="51" t="s">
        <v>107</v>
      </c>
      <c r="C17" s="51">
        <v>12</v>
      </c>
      <c r="D17" s="51">
        <v>2</v>
      </c>
      <c r="E17" s="53">
        <v>300</v>
      </c>
      <c r="F17" s="50">
        <f t="shared" si="2"/>
        <v>7200</v>
      </c>
      <c r="G17" s="52"/>
    </row>
    <row r="18" spans="1:7" ht="15" thickBot="1">
      <c r="A18" s="54" t="s">
        <v>108</v>
      </c>
      <c r="B18" s="51" t="s">
        <v>109</v>
      </c>
      <c r="C18" s="51">
        <v>12</v>
      </c>
      <c r="D18" s="208">
        <v>1000</v>
      </c>
      <c r="E18" s="209"/>
      <c r="F18" s="50">
        <f>C18*D18</f>
        <v>12000</v>
      </c>
      <c r="G18" s="52"/>
    </row>
    <row r="19" spans="1:7" ht="15" thickBot="1">
      <c r="A19" s="208" t="s">
        <v>110</v>
      </c>
      <c r="B19" s="209"/>
      <c r="C19" s="51" t="s">
        <v>120</v>
      </c>
      <c r="D19" s="51" t="s">
        <v>111</v>
      </c>
      <c r="E19" s="51" t="s">
        <v>112</v>
      </c>
      <c r="F19" s="51"/>
      <c r="G19" s="55"/>
    </row>
    <row r="20" spans="1:7" ht="27" customHeight="1" thickBot="1">
      <c r="A20" s="208" t="s">
        <v>113</v>
      </c>
      <c r="B20" s="209"/>
      <c r="C20" s="51">
        <v>2500</v>
      </c>
      <c r="D20" s="157">
        <v>3</v>
      </c>
      <c r="E20" s="51">
        <v>1</v>
      </c>
      <c r="F20" s="50">
        <f>C20*D20*E20</f>
        <v>7500</v>
      </c>
      <c r="G20" s="77"/>
    </row>
    <row r="21" spans="1:7" ht="15" thickBot="1">
      <c r="A21" s="208" t="s">
        <v>114</v>
      </c>
      <c r="B21" s="209"/>
      <c r="C21" s="51">
        <v>1690</v>
      </c>
      <c r="D21" s="51">
        <v>1</v>
      </c>
      <c r="E21" s="51">
        <v>1</v>
      </c>
      <c r="F21" s="50">
        <f t="shared" ref="F21:F22" si="3">C21*D21*E21</f>
        <v>1690</v>
      </c>
      <c r="G21" s="77"/>
    </row>
    <row r="22" spans="1:7" ht="15" thickBot="1">
      <c r="A22" s="208" t="s">
        <v>115</v>
      </c>
      <c r="B22" s="209"/>
      <c r="C22" s="51">
        <v>50</v>
      </c>
      <c r="D22" s="56">
        <v>100</v>
      </c>
      <c r="E22" s="51">
        <v>1</v>
      </c>
      <c r="F22" s="50">
        <f t="shared" si="3"/>
        <v>5000</v>
      </c>
      <c r="G22" s="77"/>
    </row>
    <row r="23" spans="1:7" ht="15.75" thickBot="1">
      <c r="A23" s="225" t="s">
        <v>116</v>
      </c>
      <c r="B23" s="226"/>
      <c r="C23" s="226"/>
      <c r="D23" s="226"/>
      <c r="E23" s="227"/>
      <c r="F23" s="57">
        <f>SUM(F5:F22)</f>
        <v>309470</v>
      </c>
      <c r="G23" s="55"/>
    </row>
    <row r="26" spans="1:7">
      <c r="F26" s="1"/>
    </row>
  </sheetData>
  <mergeCells count="19">
    <mergeCell ref="A19:B19"/>
    <mergeCell ref="A20:B20"/>
    <mergeCell ref="A21:B21"/>
    <mergeCell ref="A22:B22"/>
    <mergeCell ref="A23:E23"/>
    <mergeCell ref="D18:E18"/>
    <mergeCell ref="A1:G1"/>
    <mergeCell ref="A2:A4"/>
    <mergeCell ref="B2:B4"/>
    <mergeCell ref="C2:E2"/>
    <mergeCell ref="F2:F4"/>
    <mergeCell ref="G2:G4"/>
    <mergeCell ref="C3:C4"/>
    <mergeCell ref="D3:E3"/>
    <mergeCell ref="A5:A7"/>
    <mergeCell ref="A12:A15"/>
    <mergeCell ref="A16:A17"/>
    <mergeCell ref="A8:A9"/>
    <mergeCell ref="A10:A11"/>
  </mergeCells>
  <phoneticPr fontId="6" type="noConversion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topLeftCell="C1" workbookViewId="0">
      <selection activeCell="D5" sqref="D5"/>
    </sheetView>
  </sheetViews>
  <sheetFormatPr defaultColWidth="9" defaultRowHeight="14.25"/>
  <cols>
    <col min="1" max="1" width="12.125" style="2" customWidth="1"/>
    <col min="2" max="2" width="15" style="2" customWidth="1"/>
    <col min="3" max="4" width="9" style="2"/>
    <col min="5" max="5" width="10.625" style="2" customWidth="1"/>
    <col min="6" max="6" width="10.5" style="2" customWidth="1"/>
    <col min="7" max="8" width="9" style="2"/>
    <col min="9" max="9" width="13.625" style="2" customWidth="1"/>
    <col min="10" max="10" width="18" style="2" customWidth="1"/>
    <col min="11" max="16384" width="9" style="2"/>
  </cols>
  <sheetData>
    <row r="1" spans="1:12" ht="19.5" thickBot="1">
      <c r="A1" s="210" t="s">
        <v>128</v>
      </c>
      <c r="B1" s="210"/>
      <c r="C1" s="210"/>
      <c r="D1" s="210"/>
      <c r="E1" s="210"/>
      <c r="F1" s="210"/>
      <c r="G1" s="210"/>
      <c r="H1" s="210"/>
      <c r="I1" s="210"/>
      <c r="J1" s="210"/>
      <c r="K1" s="4"/>
    </row>
    <row r="2" spans="1:12" ht="15" thickBot="1">
      <c r="A2" s="228" t="s">
        <v>3</v>
      </c>
      <c r="B2" s="229"/>
      <c r="C2" s="211" t="s">
        <v>4</v>
      </c>
      <c r="D2" s="3" t="s">
        <v>5</v>
      </c>
      <c r="E2" s="3" t="s">
        <v>6</v>
      </c>
      <c r="F2" s="3" t="s">
        <v>7</v>
      </c>
      <c r="G2" s="3" t="s">
        <v>7</v>
      </c>
      <c r="H2" s="3" t="s">
        <v>8</v>
      </c>
      <c r="I2" s="3" t="s">
        <v>9</v>
      </c>
      <c r="J2" s="3" t="s">
        <v>10</v>
      </c>
      <c r="K2" s="4"/>
    </row>
    <row r="3" spans="1:12" ht="30" thickBot="1">
      <c r="A3" s="230"/>
      <c r="B3" s="207"/>
      <c r="C3" s="213"/>
      <c r="D3" s="3" t="s">
        <v>0</v>
      </c>
      <c r="E3" s="3" t="s">
        <v>0</v>
      </c>
      <c r="F3" s="3" t="s">
        <v>11</v>
      </c>
      <c r="G3" s="3" t="s">
        <v>12</v>
      </c>
      <c r="H3" s="3" t="s">
        <v>19</v>
      </c>
      <c r="I3" s="3" t="s">
        <v>13</v>
      </c>
      <c r="J3" s="3" t="s">
        <v>20</v>
      </c>
      <c r="K3" s="4"/>
    </row>
    <row r="4" spans="1:12" ht="15" customHeight="1" thickBot="1">
      <c r="A4" s="197" t="s">
        <v>177</v>
      </c>
      <c r="B4" s="216"/>
      <c r="C4" s="3">
        <v>2</v>
      </c>
      <c r="D4" s="3">
        <v>15</v>
      </c>
      <c r="E4" s="3">
        <f>C4*D4</f>
        <v>30</v>
      </c>
      <c r="F4" s="3">
        <v>8</v>
      </c>
      <c r="G4" s="3">
        <v>0.5</v>
      </c>
      <c r="H4" s="3">
        <v>0.51029999999999998</v>
      </c>
      <c r="I4" s="58">
        <f t="shared" ref="I4:I14" si="0">E4*F4*G4*$K$4</f>
        <v>43800</v>
      </c>
      <c r="J4" s="144">
        <f>I4*H4</f>
        <v>22351.14</v>
      </c>
      <c r="K4" s="4">
        <v>365</v>
      </c>
      <c r="L4" s="2">
        <f>E4*F4*G4*365</f>
        <v>43800</v>
      </c>
    </row>
    <row r="5" spans="1:12" ht="15" customHeight="1" thickBot="1">
      <c r="A5" s="197" t="s">
        <v>292</v>
      </c>
      <c r="B5" s="199"/>
      <c r="C5" s="137">
        <f>'2-1设施设备维修'!D8</f>
        <v>28</v>
      </c>
      <c r="D5" s="137">
        <v>9</v>
      </c>
      <c r="E5" s="137">
        <f t="shared" ref="E5:E6" si="1">C5*D5</f>
        <v>252</v>
      </c>
      <c r="F5" s="137">
        <v>24</v>
      </c>
      <c r="G5" s="137">
        <v>0.3</v>
      </c>
      <c r="H5" s="137">
        <f>H4</f>
        <v>0.51029999999999998</v>
      </c>
      <c r="I5" s="58">
        <f>E5*F5*G5*$K$4</f>
        <v>662256</v>
      </c>
      <c r="J5" s="144">
        <f t="shared" ref="J5:J6" si="2">I5*H5</f>
        <v>337949.23679999996</v>
      </c>
      <c r="K5" s="4"/>
    </row>
    <row r="6" spans="1:12" ht="15" customHeight="1" thickBot="1">
      <c r="A6" s="197" t="s">
        <v>293</v>
      </c>
      <c r="B6" s="199"/>
      <c r="C6" s="137">
        <f>'2-1设施设备维修'!D13</f>
        <v>2</v>
      </c>
      <c r="D6" s="137">
        <v>30</v>
      </c>
      <c r="E6" s="137">
        <f t="shared" si="1"/>
        <v>60</v>
      </c>
      <c r="F6" s="137">
        <f>F5</f>
        <v>24</v>
      </c>
      <c r="G6" s="137">
        <v>2E-3</v>
      </c>
      <c r="H6" s="137">
        <f>H4</f>
        <v>0.51029999999999998</v>
      </c>
      <c r="I6" s="58">
        <f t="shared" ref="I6" si="3">E6*F6*G6*$K$4</f>
        <v>1051.2</v>
      </c>
      <c r="J6" s="146">
        <f t="shared" si="2"/>
        <v>536.42736000000002</v>
      </c>
      <c r="K6" s="4"/>
    </row>
    <row r="7" spans="1:12" ht="15" customHeight="1" thickBot="1">
      <c r="A7" s="214" t="s">
        <v>121</v>
      </c>
      <c r="B7" s="216"/>
      <c r="C7" s="6">
        <f>'2-1设施设备维修'!D15</f>
        <v>2</v>
      </c>
      <c r="D7" s="3">
        <v>37</v>
      </c>
      <c r="E7" s="75">
        <f t="shared" ref="E7:E8" si="4">C7*D7</f>
        <v>74</v>
      </c>
      <c r="F7" s="3">
        <f>F5</f>
        <v>24</v>
      </c>
      <c r="G7" s="3">
        <f>G6</f>
        <v>2E-3</v>
      </c>
      <c r="H7" s="76">
        <f>H4</f>
        <v>0.51029999999999998</v>
      </c>
      <c r="I7" s="58">
        <f t="shared" si="0"/>
        <v>1296.48</v>
      </c>
      <c r="J7" s="146">
        <f t="shared" ref="J7:J8" si="5">H7*I7</f>
        <v>661.59374400000002</v>
      </c>
      <c r="K7" s="4"/>
    </row>
    <row r="8" spans="1:12" ht="15.75" thickBot="1">
      <c r="A8" s="197" t="s">
        <v>294</v>
      </c>
      <c r="B8" s="216"/>
      <c r="C8" s="136">
        <f>'2-1设施设备维修'!D14</f>
        <v>1</v>
      </c>
      <c r="D8" s="137">
        <v>1.1000000000000001</v>
      </c>
      <c r="E8" s="137">
        <f t="shared" si="4"/>
        <v>1.1000000000000001</v>
      </c>
      <c r="F8" s="137">
        <f>F5</f>
        <v>24</v>
      </c>
      <c r="G8" s="137">
        <v>0.15</v>
      </c>
      <c r="H8" s="137">
        <f>H4</f>
        <v>0.51029999999999998</v>
      </c>
      <c r="I8" s="58">
        <f t="shared" si="0"/>
        <v>1445.4</v>
      </c>
      <c r="J8" s="146">
        <f t="shared" si="5"/>
        <v>737.58762000000002</v>
      </c>
      <c r="K8" s="4"/>
    </row>
    <row r="9" spans="1:12" ht="14.25" customHeight="1" thickBot="1">
      <c r="A9" s="211" t="s">
        <v>122</v>
      </c>
      <c r="B9" s="100" t="s">
        <v>123</v>
      </c>
      <c r="C9" s="211">
        <f>'2-1设施设备维修'!D10</f>
        <v>2</v>
      </c>
      <c r="D9" s="211">
        <v>10</v>
      </c>
      <c r="E9" s="211">
        <f>C9*D9</f>
        <v>20</v>
      </c>
      <c r="F9" s="211">
        <v>24</v>
      </c>
      <c r="G9" s="211">
        <v>1</v>
      </c>
      <c r="H9" s="211">
        <f>H4</f>
        <v>0.51029999999999998</v>
      </c>
      <c r="I9" s="231">
        <f t="shared" si="0"/>
        <v>175200</v>
      </c>
      <c r="J9" s="211">
        <f>H9*I9</f>
        <v>89404.56</v>
      </c>
      <c r="K9" s="4"/>
    </row>
    <row r="10" spans="1:12" ht="14.25" customHeight="1" thickBot="1">
      <c r="A10" s="212"/>
      <c r="B10" s="118" t="s">
        <v>295</v>
      </c>
      <c r="C10" s="212"/>
      <c r="D10" s="212"/>
      <c r="E10" s="212"/>
      <c r="F10" s="212"/>
      <c r="G10" s="212"/>
      <c r="H10" s="212"/>
      <c r="I10" s="232"/>
      <c r="J10" s="212"/>
      <c r="K10" s="4"/>
    </row>
    <row r="11" spans="1:12" ht="14.25" customHeight="1" thickBot="1">
      <c r="A11" s="213"/>
      <c r="B11" s="118" t="s">
        <v>296</v>
      </c>
      <c r="C11" s="213"/>
      <c r="D11" s="213"/>
      <c r="E11" s="213"/>
      <c r="F11" s="213"/>
      <c r="G11" s="213"/>
      <c r="H11" s="213"/>
      <c r="I11" s="233"/>
      <c r="J11" s="213"/>
      <c r="K11" s="4"/>
    </row>
    <row r="12" spans="1:12" ht="14.25" customHeight="1" thickBot="1">
      <c r="A12" s="211" t="s">
        <v>229</v>
      </c>
      <c r="B12" s="100" t="s">
        <v>230</v>
      </c>
      <c r="C12" s="100">
        <f>'2-1设施设备维修'!D5</f>
        <v>4</v>
      </c>
      <c r="D12" s="100">
        <v>7.5</v>
      </c>
      <c r="E12" s="100">
        <f t="shared" ref="E12:E14" si="6">C12*D12</f>
        <v>30</v>
      </c>
      <c r="F12" s="100">
        <v>24</v>
      </c>
      <c r="G12" s="100">
        <v>0.15</v>
      </c>
      <c r="H12" s="100">
        <f>H4</f>
        <v>0.51029999999999998</v>
      </c>
      <c r="I12" s="58">
        <f t="shared" si="0"/>
        <v>39420</v>
      </c>
      <c r="J12" s="117">
        <f t="shared" ref="J12:J14" si="7">H12*I12</f>
        <v>20116.025999999998</v>
      </c>
      <c r="K12" s="4"/>
    </row>
    <row r="13" spans="1:12" ht="14.25" customHeight="1" thickBot="1">
      <c r="A13" s="212"/>
      <c r="B13" s="118" t="s">
        <v>297</v>
      </c>
      <c r="C13" s="136">
        <f>'2-1设施设备维修'!D6</f>
        <v>4</v>
      </c>
      <c r="D13" s="136">
        <f>D12</f>
        <v>7.5</v>
      </c>
      <c r="E13" s="136">
        <f t="shared" si="6"/>
        <v>30</v>
      </c>
      <c r="F13" s="136">
        <v>24</v>
      </c>
      <c r="G13" s="136">
        <v>0.1</v>
      </c>
      <c r="H13" s="136">
        <f>H4</f>
        <v>0.51029999999999998</v>
      </c>
      <c r="I13" s="58">
        <f t="shared" si="0"/>
        <v>26280</v>
      </c>
      <c r="J13" s="117">
        <f t="shared" si="7"/>
        <v>13410.683999999999</v>
      </c>
      <c r="K13" s="4"/>
    </row>
    <row r="14" spans="1:12" ht="15.75" thickBot="1">
      <c r="A14" s="213"/>
      <c r="B14" s="100" t="s">
        <v>231</v>
      </c>
      <c r="C14" s="100">
        <f>'2-1设施设备维修'!D7</f>
        <v>133</v>
      </c>
      <c r="D14" s="100">
        <v>2.2000000000000002</v>
      </c>
      <c r="E14" s="100">
        <f t="shared" si="6"/>
        <v>292.60000000000002</v>
      </c>
      <c r="F14" s="100">
        <v>24</v>
      </c>
      <c r="G14" s="100">
        <v>5.0000000000000001E-3</v>
      </c>
      <c r="H14" s="100">
        <f>H4</f>
        <v>0.51029999999999998</v>
      </c>
      <c r="I14" s="58">
        <f t="shared" si="0"/>
        <v>12815.880000000001</v>
      </c>
      <c r="J14" s="117">
        <f t="shared" si="7"/>
        <v>6539.9435640000002</v>
      </c>
      <c r="K14" s="4"/>
    </row>
    <row r="15" spans="1:12" ht="15.75" thickBot="1">
      <c r="A15" s="234" t="s">
        <v>124</v>
      </c>
      <c r="B15" s="235"/>
      <c r="C15" s="235"/>
      <c r="D15" s="235"/>
      <c r="E15" s="235"/>
      <c r="F15" s="235"/>
      <c r="G15" s="235"/>
      <c r="H15" s="236"/>
      <c r="I15" s="60">
        <f>SUM(I4:I14)</f>
        <v>963564.96</v>
      </c>
      <c r="J15" s="61">
        <f>SUM(J4:J14)</f>
        <v>491707.19908799999</v>
      </c>
      <c r="K15" s="4"/>
    </row>
    <row r="16" spans="1:12" ht="15.75" thickBot="1">
      <c r="A16" s="237" t="s">
        <v>125</v>
      </c>
      <c r="B16" s="238"/>
      <c r="C16" s="234" t="s">
        <v>126</v>
      </c>
      <c r="D16" s="236"/>
      <c r="E16" s="234" t="s">
        <v>129</v>
      </c>
      <c r="F16" s="236"/>
      <c r="G16" s="5" t="s">
        <v>96</v>
      </c>
      <c r="H16" s="234" t="s">
        <v>127</v>
      </c>
      <c r="I16" s="236"/>
      <c r="J16" s="5" t="s">
        <v>10</v>
      </c>
      <c r="K16" s="4"/>
    </row>
    <row r="17" spans="1:12" ht="15.75" thickBot="1">
      <c r="A17" s="239"/>
      <c r="B17" s="240"/>
      <c r="C17" s="234">
        <v>6</v>
      </c>
      <c r="D17" s="236"/>
      <c r="E17" s="234">
        <v>9</v>
      </c>
      <c r="F17" s="236"/>
      <c r="G17" s="5">
        <v>12</v>
      </c>
      <c r="H17" s="234">
        <f>C17*G17</f>
        <v>72</v>
      </c>
      <c r="I17" s="236"/>
      <c r="J17" s="45">
        <f>H17*E17</f>
        <v>648</v>
      </c>
      <c r="K17" s="78"/>
      <c r="L17" s="79"/>
    </row>
    <row r="18" spans="1:12" ht="15.75" thickBot="1">
      <c r="A18" s="234" t="s">
        <v>124</v>
      </c>
      <c r="B18" s="235"/>
      <c r="C18" s="235"/>
      <c r="D18" s="235"/>
      <c r="E18" s="235"/>
      <c r="F18" s="235"/>
      <c r="G18" s="236"/>
      <c r="H18" s="234">
        <f>H17</f>
        <v>72</v>
      </c>
      <c r="I18" s="236"/>
      <c r="J18" s="45">
        <f>J17</f>
        <v>648</v>
      </c>
      <c r="K18" s="4"/>
    </row>
    <row r="19" spans="1:12" ht="16.5" thickBot="1">
      <c r="A19" s="159" t="s">
        <v>17</v>
      </c>
      <c r="B19" s="160"/>
      <c r="C19" s="160"/>
      <c r="D19" s="160"/>
      <c r="E19" s="160"/>
      <c r="F19" s="160"/>
      <c r="G19" s="160"/>
      <c r="H19" s="160"/>
      <c r="I19" s="161"/>
      <c r="J19" s="14">
        <f>J15+J18</f>
        <v>492355.19908799999</v>
      </c>
      <c r="K19" s="4"/>
    </row>
  </sheetData>
  <mergeCells count="29">
    <mergeCell ref="I9:I11"/>
    <mergeCell ref="J9:J11"/>
    <mergeCell ref="A18:G18"/>
    <mergeCell ref="H18:I18"/>
    <mergeCell ref="A19:I19"/>
    <mergeCell ref="A15:H15"/>
    <mergeCell ref="A16:B17"/>
    <mergeCell ref="C16:D16"/>
    <mergeCell ref="E16:F16"/>
    <mergeCell ref="H16:I16"/>
    <mergeCell ref="C17:D17"/>
    <mergeCell ref="E17:F17"/>
    <mergeCell ref="H17:I17"/>
    <mergeCell ref="A7:B7"/>
    <mergeCell ref="A12:A14"/>
    <mergeCell ref="A1:J1"/>
    <mergeCell ref="A2:B3"/>
    <mergeCell ref="C2:C3"/>
    <mergeCell ref="A4:B4"/>
    <mergeCell ref="A5:B5"/>
    <mergeCell ref="A6:B6"/>
    <mergeCell ref="A8:B8"/>
    <mergeCell ref="A9:A11"/>
    <mergeCell ref="C9:C11"/>
    <mergeCell ref="D9:D11"/>
    <mergeCell ref="E9:E11"/>
    <mergeCell ref="F9:F11"/>
    <mergeCell ref="G9:G11"/>
    <mergeCell ref="H9:H11"/>
  </mergeCells>
  <phoneticPr fontId="6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D29" sqref="D29"/>
    </sheetView>
  </sheetViews>
  <sheetFormatPr defaultColWidth="9" defaultRowHeight="14.25"/>
  <cols>
    <col min="1" max="7" width="9" style="2"/>
    <col min="8" max="8" width="11.625" style="2" customWidth="1"/>
    <col min="9" max="9" width="11" style="2" customWidth="1"/>
    <col min="10" max="10" width="16.5" style="2" customWidth="1"/>
    <col min="11" max="16384" width="9" style="2"/>
  </cols>
  <sheetData>
    <row r="1" spans="1:11" ht="19.5" thickBot="1">
      <c r="A1" s="210" t="s">
        <v>18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 ht="15" thickBot="1">
      <c r="A2" s="228" t="s">
        <v>3</v>
      </c>
      <c r="B2" s="229"/>
      <c r="C2" s="211" t="s">
        <v>4</v>
      </c>
      <c r="D2" s="126" t="s">
        <v>5</v>
      </c>
      <c r="E2" s="126" t="s">
        <v>6</v>
      </c>
      <c r="F2" s="126" t="s">
        <v>7</v>
      </c>
      <c r="G2" s="126" t="s">
        <v>7</v>
      </c>
      <c r="H2" s="126" t="s">
        <v>8</v>
      </c>
      <c r="I2" s="126" t="s">
        <v>9</v>
      </c>
      <c r="J2" s="126" t="s">
        <v>10</v>
      </c>
      <c r="K2" s="4"/>
    </row>
    <row r="3" spans="1:11" ht="15.75" thickBot="1">
      <c r="A3" s="230"/>
      <c r="B3" s="207"/>
      <c r="C3" s="213"/>
      <c r="D3" s="126" t="s">
        <v>0</v>
      </c>
      <c r="E3" s="126" t="s">
        <v>0</v>
      </c>
      <c r="F3" s="126" t="s">
        <v>11</v>
      </c>
      <c r="G3" s="126" t="s">
        <v>12</v>
      </c>
      <c r="H3" s="126" t="s">
        <v>19</v>
      </c>
      <c r="I3" s="126" t="s">
        <v>13</v>
      </c>
      <c r="J3" s="126" t="s">
        <v>20</v>
      </c>
      <c r="K3" s="4">
        <v>365</v>
      </c>
    </row>
    <row r="4" spans="1:11" ht="15.75" thickBot="1">
      <c r="A4" s="211" t="s">
        <v>14</v>
      </c>
      <c r="B4" s="127" t="s">
        <v>15</v>
      </c>
      <c r="C4" s="127">
        <f>'2-1设施设备维修'!D5</f>
        <v>4</v>
      </c>
      <c r="D4" s="127">
        <v>7.5</v>
      </c>
      <c r="E4" s="127">
        <f>C4*D4</f>
        <v>30</v>
      </c>
      <c r="F4" s="127">
        <v>24</v>
      </c>
      <c r="G4" s="127">
        <v>0.3</v>
      </c>
      <c r="H4" s="127">
        <f>'[2]2-2设施设备运行1'!H4</f>
        <v>0.51029999999999998</v>
      </c>
      <c r="I4" s="127">
        <f>E4*F4*G4*$K$3</f>
        <v>78840</v>
      </c>
      <c r="J4" s="129">
        <f>I4*H4</f>
        <v>40232.051999999996</v>
      </c>
    </row>
    <row r="5" spans="1:11" ht="15.75" thickBot="1">
      <c r="A5" s="212"/>
      <c r="B5" s="128" t="s">
        <v>288</v>
      </c>
      <c r="C5" s="127">
        <f>'2-1设施设备维修'!D6</f>
        <v>4</v>
      </c>
      <c r="D5" s="127">
        <v>5.5</v>
      </c>
      <c r="E5" s="127">
        <f t="shared" ref="E5:E6" si="0">C5*D5</f>
        <v>22</v>
      </c>
      <c r="F5" s="127">
        <v>24</v>
      </c>
      <c r="G5" s="127">
        <v>0.3</v>
      </c>
      <c r="H5" s="127">
        <f>'[2]2-2设施设备运行1'!H5</f>
        <v>0.51029999999999998</v>
      </c>
      <c r="I5" s="127">
        <f t="shared" ref="I5:I6" si="1">E5*F5*G5*$K$3</f>
        <v>57816</v>
      </c>
      <c r="J5" s="129">
        <f t="shared" ref="J5:J6" si="2">I5*H5</f>
        <v>29503.504799999999</v>
      </c>
    </row>
    <row r="6" spans="1:11" ht="29.25" thickBot="1">
      <c r="A6" s="213"/>
      <c r="B6" s="126" t="s">
        <v>16</v>
      </c>
      <c r="C6" s="126">
        <f>'2-1设施设备维修'!D7</f>
        <v>133</v>
      </c>
      <c r="D6" s="126">
        <v>1.5</v>
      </c>
      <c r="E6" s="127">
        <f t="shared" si="0"/>
        <v>199.5</v>
      </c>
      <c r="F6" s="126">
        <v>0.5</v>
      </c>
      <c r="G6" s="126">
        <v>0.5</v>
      </c>
      <c r="H6" s="127">
        <f>'[2]2-2设施设备运行1'!H6</f>
        <v>0.51029999999999998</v>
      </c>
      <c r="I6" s="127">
        <f t="shared" si="1"/>
        <v>18204.375</v>
      </c>
      <c r="J6" s="129">
        <f t="shared" si="2"/>
        <v>9289.6925625000003</v>
      </c>
    </row>
    <row r="7" spans="1:11" ht="16.5" thickBot="1">
      <c r="A7" s="241" t="s">
        <v>17</v>
      </c>
      <c r="B7" s="242"/>
      <c r="C7" s="242"/>
      <c r="D7" s="242"/>
      <c r="E7" s="242"/>
      <c r="F7" s="242"/>
      <c r="G7" s="242"/>
      <c r="H7" s="242"/>
      <c r="I7" s="243"/>
      <c r="J7" s="7">
        <f>SUM(J4:J6)</f>
        <v>79025.249362499992</v>
      </c>
    </row>
  </sheetData>
  <mergeCells count="5">
    <mergeCell ref="A1:J1"/>
    <mergeCell ref="A2:B3"/>
    <mergeCell ref="C2:C3"/>
    <mergeCell ref="A4:A6"/>
    <mergeCell ref="A7:I7"/>
  </mergeCells>
  <phoneticPr fontId="6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workbookViewId="0">
      <selection activeCell="B4" sqref="B4"/>
    </sheetView>
  </sheetViews>
  <sheetFormatPr defaultColWidth="9" defaultRowHeight="14.25"/>
  <cols>
    <col min="1" max="1" width="13.125" style="2" customWidth="1"/>
    <col min="2" max="4" width="9" style="2"/>
    <col min="5" max="5" width="15" style="2" customWidth="1"/>
    <col min="6" max="16384" width="9" style="2"/>
  </cols>
  <sheetData>
    <row r="1" spans="1:6" ht="19.5" thickBot="1">
      <c r="A1" s="210" t="s">
        <v>135</v>
      </c>
      <c r="B1" s="210"/>
      <c r="C1" s="210"/>
      <c r="D1" s="210"/>
      <c r="E1" s="210"/>
      <c r="F1" s="210"/>
    </row>
    <row r="2" spans="1:6" ht="15.75" thickBot="1">
      <c r="A2" s="6" t="s">
        <v>136</v>
      </c>
      <c r="B2" s="3" t="s">
        <v>4</v>
      </c>
      <c r="C2" s="3" t="s">
        <v>130</v>
      </c>
      <c r="D2" s="3" t="s">
        <v>96</v>
      </c>
      <c r="E2" s="3" t="s">
        <v>131</v>
      </c>
      <c r="F2" s="3" t="s">
        <v>61</v>
      </c>
    </row>
    <row r="3" spans="1:6" ht="15.75" thickBot="1">
      <c r="A3" s="6" t="s">
        <v>132</v>
      </c>
      <c r="B3" s="3">
        <v>1</v>
      </c>
      <c r="C3" s="3">
        <v>100</v>
      </c>
      <c r="D3" s="3">
        <v>12</v>
      </c>
      <c r="E3" s="11">
        <f>B3*C3*D3</f>
        <v>1200</v>
      </c>
      <c r="F3" s="3"/>
    </row>
    <row r="4" spans="1:6" ht="29.25" thickBot="1">
      <c r="A4" s="6" t="s">
        <v>133</v>
      </c>
      <c r="B4" s="3">
        <f>1013+1032</f>
        <v>2045</v>
      </c>
      <c r="C4" s="27">
        <f>30/12</f>
        <v>2.5</v>
      </c>
      <c r="D4" s="3">
        <v>12</v>
      </c>
      <c r="E4" s="11">
        <f>B4*C4*D4</f>
        <v>61350</v>
      </c>
      <c r="F4" s="62"/>
    </row>
    <row r="5" spans="1:6" ht="15.75" thickBot="1">
      <c r="A5" s="6" t="s">
        <v>134</v>
      </c>
      <c r="B5" s="3">
        <v>1</v>
      </c>
      <c r="C5" s="3">
        <v>50</v>
      </c>
      <c r="D5" s="3">
        <v>12</v>
      </c>
      <c r="E5" s="11">
        <f t="shared" ref="E5" si="0">B5*C5*D5</f>
        <v>600</v>
      </c>
      <c r="F5" s="63"/>
    </row>
    <row r="6" spans="1:6" ht="16.5" thickBot="1">
      <c r="A6" s="241" t="s">
        <v>17</v>
      </c>
      <c r="B6" s="242"/>
      <c r="C6" s="242"/>
      <c r="D6" s="243"/>
      <c r="E6" s="7">
        <f>SUM(E3:E5)</f>
        <v>63150</v>
      </c>
      <c r="F6" s="62"/>
    </row>
    <row r="13" spans="1:6">
      <c r="E13" s="2">
        <f>1013+1032</f>
        <v>2045</v>
      </c>
    </row>
  </sheetData>
  <mergeCells count="2">
    <mergeCell ref="A1:F1"/>
    <mergeCell ref="A6:D6"/>
  </mergeCells>
  <phoneticPr fontId="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workbookViewId="0">
      <selection activeCell="A6" sqref="A6:H6"/>
    </sheetView>
  </sheetViews>
  <sheetFormatPr defaultColWidth="9" defaultRowHeight="14.25"/>
  <cols>
    <col min="1" max="4" width="9" style="2"/>
    <col min="5" max="6" width="16.125" style="2" customWidth="1"/>
    <col min="7" max="7" width="17.625" style="2" customWidth="1"/>
    <col min="8" max="8" width="18" style="2" customWidth="1"/>
    <col min="9" max="9" width="32.125" style="2" customWidth="1"/>
    <col min="10" max="16384" width="9" style="2"/>
  </cols>
  <sheetData>
    <row r="1" spans="1:9" ht="19.5" thickBot="1">
      <c r="A1" s="210" t="s">
        <v>139</v>
      </c>
      <c r="B1" s="210"/>
      <c r="C1" s="210"/>
      <c r="D1" s="210"/>
      <c r="E1" s="210"/>
      <c r="F1" s="210"/>
      <c r="G1" s="210"/>
      <c r="H1" s="210"/>
      <c r="I1" s="210"/>
    </row>
    <row r="2" spans="1:9" ht="30" thickBot="1">
      <c r="A2" s="64" t="s">
        <v>88</v>
      </c>
      <c r="B2" s="59" t="s">
        <v>89</v>
      </c>
      <c r="C2" s="65" t="s">
        <v>56</v>
      </c>
      <c r="D2" s="65" t="s">
        <v>57</v>
      </c>
      <c r="E2" s="65" t="s">
        <v>58</v>
      </c>
      <c r="F2" s="59" t="s">
        <v>59</v>
      </c>
      <c r="G2" s="59" t="s">
        <v>140</v>
      </c>
      <c r="H2" s="59" t="s">
        <v>60</v>
      </c>
      <c r="I2" s="59" t="s">
        <v>61</v>
      </c>
    </row>
    <row r="3" spans="1:9" ht="23.25" customHeight="1" thickBot="1">
      <c r="A3" s="246" t="s">
        <v>290</v>
      </c>
      <c r="B3" s="23" t="s">
        <v>279</v>
      </c>
      <c r="C3" s="23">
        <v>2</v>
      </c>
      <c r="D3" s="25">
        <v>3000</v>
      </c>
      <c r="E3" s="25">
        <f>C3*D3</f>
        <v>6000</v>
      </c>
      <c r="F3" s="25">
        <f>E3*12</f>
        <v>72000</v>
      </c>
      <c r="G3" s="25">
        <f>ROUND(($B$11*($B$12+$C$12)+$D$11*$D$12+$E$11*($E$12+$F$12))*C3*12,0)</f>
        <v>29135</v>
      </c>
      <c r="H3" s="45">
        <f>F3+G3</f>
        <v>101135</v>
      </c>
      <c r="I3" s="126"/>
    </row>
    <row r="4" spans="1:9" ht="21" customHeight="1" thickBot="1">
      <c r="A4" s="247"/>
      <c r="B4" s="23" t="s">
        <v>232</v>
      </c>
      <c r="C4" s="23">
        <v>12</v>
      </c>
      <c r="D4" s="25">
        <v>2500</v>
      </c>
      <c r="E4" s="25">
        <f>C4*D4</f>
        <v>30000</v>
      </c>
      <c r="F4" s="25">
        <f>E4*12</f>
        <v>360000</v>
      </c>
      <c r="G4" s="25">
        <f>ROUND(($B$11*($B$12+$C$12)+$D$11*$D$12+$E$11*($E$12+$F$12))*C4*12,0)</f>
        <v>174811</v>
      </c>
      <c r="H4" s="45">
        <f>F4+G4</f>
        <v>534811</v>
      </c>
      <c r="I4" s="10"/>
    </row>
    <row r="5" spans="1:9" ht="27" customHeight="1" thickBot="1">
      <c r="A5" s="244" t="s">
        <v>74</v>
      </c>
      <c r="B5" s="245"/>
      <c r="C5" s="31">
        <f>SUM(C3:C4)</f>
        <v>14</v>
      </c>
      <c r="D5" s="31"/>
      <c r="E5" s="31"/>
      <c r="F5" s="31"/>
      <c r="G5" s="31"/>
      <c r="H5" s="46">
        <f>SUM(H3:H4)</f>
        <v>635946</v>
      </c>
      <c r="I5" s="26"/>
    </row>
    <row r="6" spans="1:9" ht="15.75" thickBot="1">
      <c r="A6" s="171" t="s">
        <v>239</v>
      </c>
      <c r="B6" s="205"/>
      <c r="C6" s="205"/>
      <c r="D6" s="205"/>
      <c r="E6" s="205"/>
      <c r="F6" s="205"/>
      <c r="G6" s="205"/>
      <c r="H6" s="172"/>
      <c r="I6" s="34">
        <v>0.28100000000000003</v>
      </c>
    </row>
    <row r="9" spans="1:9">
      <c r="A9" s="35" t="s">
        <v>77</v>
      </c>
      <c r="B9" s="35"/>
      <c r="C9" s="35"/>
      <c r="D9" s="35"/>
      <c r="E9" s="35"/>
    </row>
    <row r="10" spans="1:9">
      <c r="A10" s="35" t="s">
        <v>78</v>
      </c>
      <c r="B10" s="35" t="s">
        <v>79</v>
      </c>
      <c r="C10" s="35" t="s">
        <v>80</v>
      </c>
      <c r="D10" s="35" t="s">
        <v>81</v>
      </c>
      <c r="E10" s="35" t="s">
        <v>82</v>
      </c>
      <c r="F10" s="35" t="s">
        <v>83</v>
      </c>
    </row>
    <row r="11" spans="1:9">
      <c r="A11" s="35" t="s">
        <v>85</v>
      </c>
      <c r="B11" s="121">
        <v>3640</v>
      </c>
      <c r="C11" s="121">
        <f>B11</f>
        <v>3640</v>
      </c>
      <c r="D11" s="121">
        <v>4713</v>
      </c>
      <c r="E11" s="121">
        <v>5360</v>
      </c>
      <c r="F11" s="121">
        <f>E11</f>
        <v>5360</v>
      </c>
    </row>
    <row r="12" spans="1:9" s="66" customFormat="1">
      <c r="A12" s="36" t="s">
        <v>86</v>
      </c>
      <c r="B12" s="37">
        <v>0.16</v>
      </c>
      <c r="C12" s="38">
        <v>8.0000000000000002E-3</v>
      </c>
      <c r="D12" s="38">
        <v>5.0000000000000001E-3</v>
      </c>
      <c r="E12" s="38">
        <v>8.0000000000000002E-3</v>
      </c>
      <c r="F12" s="37">
        <v>0.1</v>
      </c>
      <c r="G12" s="38"/>
    </row>
    <row r="13" spans="1:9">
      <c r="A13" s="39" t="s">
        <v>87</v>
      </c>
      <c r="B13" s="40">
        <v>0.2</v>
      </c>
      <c r="C13" s="41">
        <v>0.01</v>
      </c>
      <c r="D13" s="39" t="s">
        <v>2</v>
      </c>
      <c r="E13" s="41">
        <v>8.0000000000000002E-3</v>
      </c>
      <c r="F13" s="40">
        <v>0.1</v>
      </c>
      <c r="G13" s="66"/>
    </row>
  </sheetData>
  <mergeCells count="4">
    <mergeCell ref="A1:I1"/>
    <mergeCell ref="A5:B5"/>
    <mergeCell ref="A6:H6"/>
    <mergeCell ref="A3:A4"/>
  </mergeCells>
  <phoneticPr fontId="6" type="noConversion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汇总表</vt:lpstr>
      <vt:lpstr>对比</vt:lpstr>
      <vt:lpstr>1员工工资</vt:lpstr>
      <vt:lpstr>2工程人员工资</vt:lpstr>
      <vt:lpstr>2-1设施设备维修</vt:lpstr>
      <vt:lpstr>2-2设施设备运行1</vt:lpstr>
      <vt:lpstr>2-3设施设备运行2 </vt:lpstr>
      <vt:lpstr>3清洁卫生</vt:lpstr>
      <vt:lpstr>3-1环境人员工资</vt:lpstr>
      <vt:lpstr>4绿化养护</vt:lpstr>
      <vt:lpstr>5秩序维护人员工资 </vt:lpstr>
      <vt:lpstr>5-1秩序维护费用</vt:lpstr>
      <vt:lpstr>6办公费</vt:lpstr>
      <vt:lpstr>7固定资产折旧</vt:lpstr>
      <vt:lpstr>8公众责任保险费用</vt:lpstr>
      <vt:lpstr>面积表</vt:lpstr>
      <vt:lpstr>系统读取表</vt:lpstr>
      <vt:lpstr>Sheet1</vt:lpstr>
      <vt:lpstr>系统读取表!Print_Area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2021-10-29T07:48:30Z</dcterms:modified>
</cp:coreProperties>
</file>